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4/"/>
    </mc:Choice>
  </mc:AlternateContent>
  <xr:revisionPtr revIDLastSave="0" documentId="8_{EF5CB994-0145-654E-9D7F-165C95440BB3}" xr6:coauthVersionLast="47" xr6:coauthVersionMax="47" xr10:uidLastSave="{00000000-0000-0000-0000-000000000000}"/>
  <bookViews>
    <workbookView xWindow="1920" yWindow="2440" windowWidth="23340" windowHeight="12600" activeTab="4" xr2:uid="{BFE135A5-2400-5A4D-A993-931CE82FED9E}"/>
  </bookViews>
  <sheets>
    <sheet name="VCPO" sheetId="2" r:id="rId1"/>
    <sheet name="GapA" sheetId="3" r:id="rId2"/>
    <sheet name="LacZ" sheetId="4" r:id="rId3"/>
    <sheet name="LdhA" sheetId="5" r:id="rId4"/>
    <sheet name="Together" sheetId="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MethodPointer1" localSheetId="1">594298080</definedName>
    <definedName name="MethodPointer1" localSheetId="2">541966848</definedName>
    <definedName name="MethodPointer1" localSheetId="3">593035040</definedName>
    <definedName name="MethodPointer1">310403632</definedName>
    <definedName name="MethodPointer2">607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4" i="1"/>
  <c r="C5" i="1"/>
  <c r="B5" i="1"/>
  <c r="E10" i="3"/>
  <c r="C6" i="1" s="1"/>
  <c r="B6" i="1"/>
  <c r="C3" i="1"/>
  <c r="B3" i="1"/>
  <c r="B2" i="5"/>
  <c r="E2" i="5"/>
  <c r="F2" i="5" s="1"/>
  <c r="F8" i="5" s="1"/>
  <c r="B3" i="5"/>
  <c r="E3" i="5"/>
  <c r="F3" i="5"/>
  <c r="F9" i="5" s="1"/>
  <c r="B4" i="5"/>
  <c r="E4" i="5"/>
  <c r="F4" i="5" s="1"/>
  <c r="F10" i="5" s="1"/>
  <c r="B5" i="5"/>
  <c r="E5" i="5"/>
  <c r="F5" i="5"/>
  <c r="F11" i="5" s="1"/>
  <c r="F13" i="5"/>
  <c r="F14" i="5"/>
  <c r="F15" i="5"/>
  <c r="F16" i="5"/>
  <c r="G9" i="5" l="1"/>
  <c r="G14" i="5"/>
  <c r="G15" i="5"/>
  <c r="G10" i="5"/>
  <c r="B20" i="5" s="1"/>
  <c r="C20" i="5" s="1"/>
  <c r="B9" i="5"/>
  <c r="C9" i="5" s="1"/>
  <c r="B11" i="5"/>
  <c r="C11" i="5" s="1"/>
  <c r="G11" i="5"/>
  <c r="B21" i="5" s="1"/>
  <c r="C21" i="5" s="1"/>
  <c r="G16" i="5"/>
  <c r="B8" i="5"/>
  <c r="C8" i="5" s="1"/>
  <c r="G13" i="5"/>
  <c r="G8" i="5"/>
  <c r="B18" i="5" s="1"/>
  <c r="C18" i="5" s="1"/>
  <c r="B10" i="5"/>
  <c r="C10" i="5" s="1"/>
  <c r="B19" i="5"/>
  <c r="C19" i="5" s="1"/>
  <c r="C15" i="5" l="1"/>
  <c r="D15" i="5"/>
  <c r="E20" i="5"/>
  <c r="D20" i="5"/>
  <c r="B2" i="4" l="1"/>
  <c r="E2" i="4"/>
  <c r="F2" i="4"/>
  <c r="F8" i="4" s="1"/>
  <c r="H2" i="4"/>
  <c r="I2" i="4"/>
  <c r="J2" i="4" s="1"/>
  <c r="B3" i="4"/>
  <c r="E3" i="4"/>
  <c r="F3" i="4" s="1"/>
  <c r="F9" i="4" s="1"/>
  <c r="H3" i="4"/>
  <c r="I3" i="4"/>
  <c r="J3" i="4" s="1"/>
  <c r="B4" i="4"/>
  <c r="E4" i="4"/>
  <c r="F4" i="4"/>
  <c r="H4" i="4"/>
  <c r="I4" i="4" s="1"/>
  <c r="B5" i="4"/>
  <c r="E5" i="4"/>
  <c r="F5" i="4"/>
  <c r="H5" i="4"/>
  <c r="I5" i="4" s="1"/>
  <c r="G8" i="4"/>
  <c r="G9" i="4"/>
  <c r="G10" i="4"/>
  <c r="G11" i="4"/>
  <c r="J5" i="4" l="1"/>
  <c r="F11" i="4"/>
  <c r="K4" i="4"/>
  <c r="L4" i="4"/>
  <c r="B8" i="4"/>
  <c r="C8" i="4" s="1"/>
  <c r="H8" i="4"/>
  <c r="H9" i="4"/>
  <c r="B9" i="4"/>
  <c r="C9" i="4" s="1"/>
  <c r="J4" i="4"/>
  <c r="F10" i="4"/>
  <c r="H10" i="4" l="1"/>
  <c r="B10" i="4"/>
  <c r="C10" i="4" s="1"/>
  <c r="C14" i="4" s="1"/>
  <c r="B11" i="4"/>
  <c r="C11" i="4" s="1"/>
  <c r="H11" i="4"/>
  <c r="D14" i="4" l="1"/>
  <c r="B2" i="3" l="1"/>
  <c r="F2" i="3"/>
  <c r="G2" i="3" s="1"/>
  <c r="B3" i="3"/>
  <c r="F3" i="3"/>
  <c r="G3" i="3"/>
  <c r="G9" i="3" s="1"/>
  <c r="B9" i="3" s="1"/>
  <c r="B4" i="3"/>
  <c r="F4" i="3"/>
  <c r="G4" i="3" s="1"/>
  <c r="B5" i="3"/>
  <c r="F5" i="3"/>
  <c r="G5" i="3" s="1"/>
  <c r="H8" i="3"/>
  <c r="H9" i="3"/>
  <c r="H10" i="3"/>
  <c r="H11" i="3"/>
  <c r="H5" i="3" l="1"/>
  <c r="G11" i="3"/>
  <c r="I11" i="3" s="1"/>
  <c r="B11" i="3"/>
  <c r="G10" i="3"/>
  <c r="H4" i="3"/>
  <c r="B10" i="3"/>
  <c r="I10" i="3"/>
  <c r="I9" i="3"/>
  <c r="G8" i="3"/>
  <c r="I8" i="3" s="1"/>
  <c r="H2" i="3"/>
  <c r="H3" i="3"/>
  <c r="J4" i="3" l="1"/>
  <c r="I4" i="3"/>
  <c r="B8" i="3"/>
  <c r="B4" i="2"/>
  <c r="E4" i="2"/>
  <c r="F4" i="2" s="1"/>
  <c r="E11" i="2" s="1"/>
  <c r="H11" i="2" s="1"/>
  <c r="H4" i="2"/>
  <c r="B5" i="2"/>
  <c r="E5" i="2"/>
  <c r="F5" i="2"/>
  <c r="E12" i="2" s="1"/>
  <c r="H12" i="2" s="1"/>
  <c r="H5" i="2"/>
  <c r="I5" i="2" s="1"/>
  <c r="B6" i="2"/>
  <c r="B17" i="2" s="1"/>
  <c r="E6" i="2"/>
  <c r="F6" i="2"/>
  <c r="E13" i="2" s="1"/>
  <c r="H6" i="2"/>
  <c r="I6" i="2" s="1"/>
  <c r="B7" i="2"/>
  <c r="E7" i="2"/>
  <c r="F7" i="2"/>
  <c r="H7" i="2"/>
  <c r="I4" i="2" s="1"/>
  <c r="I7" i="2"/>
  <c r="E10" i="2"/>
  <c r="H10" i="2" s="1"/>
  <c r="F10" i="2"/>
  <c r="G10" i="2" s="1"/>
  <c r="F11" i="2"/>
  <c r="G11" i="2"/>
  <c r="F12" i="2"/>
  <c r="G12" i="2" s="1"/>
  <c r="F13" i="2"/>
  <c r="G13" i="2" s="1"/>
  <c r="C8" i="3" l="1"/>
  <c r="C9" i="3"/>
  <c r="C11" i="3"/>
  <c r="C10" i="3"/>
  <c r="B16" i="2"/>
  <c r="K5" i="2"/>
  <c r="J5" i="2"/>
  <c r="B18" i="2"/>
  <c r="H13" i="2"/>
  <c r="B15" i="2"/>
  <c r="C15" i="2" s="1"/>
  <c r="D10" i="3" l="1"/>
  <c r="C18" i="2"/>
  <c r="C16" i="2"/>
  <c r="C17" i="2"/>
  <c r="E17" i="2" l="1"/>
  <c r="D17" i="2"/>
</calcChain>
</file>

<file path=xl/sharedStrings.xml><?xml version="1.0" encoding="utf-8"?>
<sst xmlns="http://schemas.openxmlformats.org/spreadsheetml/2006/main" count="121" uniqueCount="38">
  <si>
    <t>VCPO</t>
  </si>
  <si>
    <t>LdhA</t>
  </si>
  <si>
    <t>LacZ</t>
  </si>
  <si>
    <t>GapA</t>
  </si>
  <si>
    <t>P3</t>
  </si>
  <si>
    <t>P2</t>
  </si>
  <si>
    <t>P1</t>
  </si>
  <si>
    <t xml:space="preserve">untreated </t>
  </si>
  <si>
    <t>STABWN</t>
  </si>
  <si>
    <t>Mean</t>
  </si>
  <si>
    <t>%</t>
  </si>
  <si>
    <t>Slope/Bradford</t>
  </si>
  <si>
    <t>Sum Bradfords</t>
  </si>
  <si>
    <t>mg/ml after Immobilization+Plasma</t>
  </si>
  <si>
    <t>% after Immobilization + Plasma</t>
  </si>
  <si>
    <r>
      <t xml:space="preserve">c </t>
    </r>
    <r>
      <rPr>
        <strike/>
        <sz val="10"/>
        <rFont val="Arial"/>
        <family val="2"/>
      </rPr>
      <t>[mg/ml]</t>
    </r>
  </si>
  <si>
    <t>2.</t>
  </si>
  <si>
    <t>undiluted</t>
  </si>
  <si>
    <t>1.</t>
  </si>
  <si>
    <t>slope</t>
  </si>
  <si>
    <t>Bradford  Assay</t>
  </si>
  <si>
    <t>untreated</t>
  </si>
  <si>
    <t>Sum Total</t>
  </si>
  <si>
    <t>Sum Loss</t>
  </si>
  <si>
    <t>OD1</t>
  </si>
  <si>
    <t>mg/ml Total</t>
  </si>
  <si>
    <t>mg/ml assay</t>
  </si>
  <si>
    <t>mg/ml [%]</t>
  </si>
  <si>
    <t>c [mg/ml]</t>
  </si>
  <si>
    <t>OD2</t>
  </si>
  <si>
    <t>OD 1</t>
  </si>
  <si>
    <t>Slope</t>
  </si>
  <si>
    <t>mg/ml total</t>
  </si>
  <si>
    <t xml:space="preserve">Sum Loss </t>
  </si>
  <si>
    <t>1/20 dilution</t>
  </si>
  <si>
    <t>mg/ml  Assay</t>
  </si>
  <si>
    <t>Residual activity [%]</t>
  </si>
  <si>
    <t>OD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</si>
</sst>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1" fillId="2" borderId="0" xfId="1" applyFill="1"/>
    <xf numFmtId="0" fontId="2" fillId="0" borderId="0" xfId="1" applyFont="1"/>
    <xf numFmtId="0" fontId="1" fillId="0" borderId="0" xfId="1" applyAlignment="1">
      <alignment horizontal="center"/>
    </xf>
    <xf numFmtId="17" fontId="1" fillId="0" borderId="0" xfId="1" applyNumberFormat="1"/>
  </cellXfs>
  <cellStyles count="2">
    <cellStyle name="Standard" xfId="0" builtinId="0"/>
    <cellStyle name="Standard 2" xfId="1" xr:uid="{3BC35D72-5219-C144-8298-BE1E4E878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Together!$C$3:$C$6</c:f>
                <c:numCache>
                  <c:formatCode>General</c:formatCode>
                  <c:ptCount val="4"/>
                  <c:pt idx="0">
                    <c:v>1.0209351104790481</c:v>
                  </c:pt>
                  <c:pt idx="1">
                    <c:v>7.3136066934408133</c:v>
                  </c:pt>
                  <c:pt idx="2">
                    <c:v>8.4287044354863756</c:v>
                  </c:pt>
                  <c:pt idx="3">
                    <c:v>1.4344866232588054</c:v>
                  </c:pt>
                </c:numCache>
              </c:numRef>
            </c:plus>
            <c:minus>
              <c:numRef>
                <c:f>Together!$C$3:$C$6</c:f>
                <c:numCache>
                  <c:formatCode>General</c:formatCode>
                  <c:ptCount val="4"/>
                  <c:pt idx="0">
                    <c:v>1.0209351104790481</c:v>
                  </c:pt>
                  <c:pt idx="1">
                    <c:v>7.3136066934408133</c:v>
                  </c:pt>
                  <c:pt idx="2">
                    <c:v>8.4287044354863756</c:v>
                  </c:pt>
                  <c:pt idx="3">
                    <c:v>1.4344866232588054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Together!$A$3:$A$6</c:f>
              <c:strCache>
                <c:ptCount val="4"/>
                <c:pt idx="0">
                  <c:v>VCPO</c:v>
                </c:pt>
                <c:pt idx="1">
                  <c:v>LdhA</c:v>
                </c:pt>
                <c:pt idx="2">
                  <c:v>LacZ</c:v>
                </c:pt>
                <c:pt idx="3">
                  <c:v>GapA</c:v>
                </c:pt>
              </c:strCache>
            </c:strRef>
          </c:cat>
          <c:val>
            <c:numRef>
              <c:f>Together!$B$3:$B$6</c:f>
              <c:numCache>
                <c:formatCode>General</c:formatCode>
                <c:ptCount val="4"/>
                <c:pt idx="0">
                  <c:v>96.84003276362607</c:v>
                </c:pt>
                <c:pt idx="1">
                  <c:v>65.897240226407988</c:v>
                </c:pt>
                <c:pt idx="2">
                  <c:v>68.923263905480226</c:v>
                </c:pt>
                <c:pt idx="3">
                  <c:v>1.4866990166212137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3-1840-AB66-2031C662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850128"/>
        <c:axId val="271851760"/>
      </c:barChart>
      <c:catAx>
        <c:axId val="27185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1851760"/>
        <c:crosses val="autoZero"/>
        <c:auto val="1"/>
        <c:lblAlgn val="ctr"/>
        <c:lblOffset val="100"/>
        <c:noMultiLvlLbl val="0"/>
      </c:catAx>
      <c:valAx>
        <c:axId val="271851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residual activity/Bradford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185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0</xdr:rowOff>
    </xdr:from>
    <xdr:to>
      <xdr:col>8</xdr:col>
      <xdr:colOff>723900</xdr:colOff>
      <xdr:row>14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D3E2C62-740A-4C4E-A891-7AE94C6E1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Reversibilita&#776;tsassay/VCPO/2020_11_12_VCPO_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Reversibilita&#776;tsassay/GapA/2020_11_12_GapA_Rev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Reversibilita&#776;tsassay/GapA/2020_11_12_GapA_Rev_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Reversibilita&#776;tsassay/LacZ/2020_11_12_LacZ_Re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Reversibilita&#776;tsassay/LdhA/2020_11_12_LdhA_1zu20_Ve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Plate 1 - Sheet1 (1)"/>
      <sheetName val="Bradfords"/>
    </sheetNames>
    <sheetDataSet>
      <sheetData sheetId="0">
        <row r="23">
          <cell r="E23">
            <v>6.825817923186343E-3</v>
          </cell>
          <cell r="G23">
            <v>2.7635480489225394E-3</v>
          </cell>
        </row>
      </sheetData>
      <sheetData sheetId="1">
        <row r="23">
          <cell r="I23">
            <v>3.8809015725101929E-3</v>
          </cell>
          <cell r="K23">
            <v>2.1323005241700647E-3</v>
          </cell>
        </row>
      </sheetData>
      <sheetData sheetId="2">
        <row r="5">
          <cell r="H5">
            <v>12.503793626707132</v>
          </cell>
        </row>
        <row r="6">
          <cell r="H6">
            <v>22.518968133535658</v>
          </cell>
        </row>
        <row r="7">
          <cell r="H7">
            <v>17.663125948406673</v>
          </cell>
        </row>
        <row r="8">
          <cell r="H8">
            <v>28.861911987860395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Tabelle2"/>
    </sheetNames>
    <sheetDataSet>
      <sheetData sheetId="0">
        <row r="23">
          <cell r="AG23">
            <v>1.5384615384615398E-6</v>
          </cell>
          <cell r="AI23">
            <v>1.0307692307692317E-5</v>
          </cell>
        </row>
      </sheetData>
      <sheetData sheetId="1">
        <row r="5">
          <cell r="G5">
            <v>0.39514415781487106</v>
          </cell>
        </row>
        <row r="6">
          <cell r="G6">
            <v>0.17359635811836113</v>
          </cell>
        </row>
        <row r="7">
          <cell r="G7">
            <v>0.34962063732928678</v>
          </cell>
        </row>
        <row r="8">
          <cell r="G8">
            <v>0.31927162367223066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4">
          <cell r="H4">
            <v>7.5137505926979619E-4</v>
          </cell>
          <cell r="J4">
            <v>8.7719298245614111E-7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Plate 1 - Sheet1 (1)"/>
      <sheetName val="Tabelle2"/>
    </sheetNames>
    <sheetDataSet>
      <sheetData sheetId="0">
        <row r="23">
          <cell r="Q23">
            <v>2.2143406593406592E-2</v>
          </cell>
          <cell r="S23">
            <v>5.8436363636363651E-3</v>
          </cell>
        </row>
      </sheetData>
      <sheetData sheetId="1">
        <row r="23">
          <cell r="U23">
            <v>1.6985194805194809E-2</v>
          </cell>
          <cell r="W23">
            <v>8.2648051948051946E-3</v>
          </cell>
        </row>
      </sheetData>
      <sheetData sheetId="2">
        <row r="6">
          <cell r="F6">
            <v>7.6479514415781477E-2</v>
          </cell>
        </row>
        <row r="7">
          <cell r="F7">
            <v>7.0409711684370269E-2</v>
          </cell>
        </row>
        <row r="8">
          <cell r="F8">
            <v>7.9514415781487102E-2</v>
          </cell>
        </row>
        <row r="9">
          <cell r="F9">
            <v>6.4339908952959018E-2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Plate 1 - Sheet1 (1)"/>
      <sheetName val="Tabelle2"/>
    </sheetNames>
    <sheetDataSet>
      <sheetData sheetId="0">
        <row r="22">
          <cell r="BM22">
            <v>1.4100000000000001E-2</v>
          </cell>
          <cell r="BO22">
            <v>5.6623076923076922E-3</v>
          </cell>
        </row>
      </sheetData>
      <sheetData sheetId="1">
        <row r="22">
          <cell r="BQ22">
            <v>3.5333076923076924E-3</v>
          </cell>
          <cell r="BS22">
            <v>2.8611538461538466E-3</v>
          </cell>
        </row>
      </sheetData>
      <sheetData sheetId="2">
        <row r="6">
          <cell r="I6">
            <v>7.3444613050075866E-2</v>
          </cell>
        </row>
        <row r="7">
          <cell r="I7">
            <v>4.3095599393019726E-2</v>
          </cell>
        </row>
        <row r="8">
          <cell r="I8">
            <v>7.3444613050075866E-2</v>
          </cell>
        </row>
        <row r="9">
          <cell r="I9">
            <v>3.9757207890743544E-2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28F1-93D3-5242-A559-E4A54D1C81ED}">
  <dimension ref="A2:K18"/>
  <sheetViews>
    <sheetView workbookViewId="0">
      <selection activeCell="E3" sqref="E3:F3"/>
    </sheetView>
  </sheetViews>
  <sheetFormatPr baseColWidth="10" defaultRowHeight="13" x14ac:dyDescent="0.15"/>
  <cols>
    <col min="1" max="1" width="10.83203125" style="1"/>
    <col min="2" max="2" width="15.33203125" style="1" bestFit="1" customWidth="1"/>
    <col min="3" max="3" width="10.83203125" style="1"/>
    <col min="4" max="4" width="15.1640625" style="1" bestFit="1" customWidth="1"/>
    <col min="5" max="5" width="10.83203125" style="1"/>
    <col min="6" max="6" width="27.83203125" style="1" bestFit="1" customWidth="1"/>
    <col min="7" max="7" width="30.33203125" style="1" bestFit="1" customWidth="1"/>
    <col min="8" max="8" width="22.83203125" style="1" bestFit="1" customWidth="1"/>
    <col min="9" max="16384" width="10.83203125" style="1"/>
  </cols>
  <sheetData>
    <row r="2" spans="1:11" x14ac:dyDescent="0.15">
      <c r="D2" s="4" t="s">
        <v>20</v>
      </c>
      <c r="E2" s="4"/>
      <c r="F2" s="4"/>
      <c r="G2" s="4"/>
      <c r="H2" s="4"/>
    </row>
    <row r="3" spans="1:11" x14ac:dyDescent="0.15">
      <c r="B3" s="1" t="s">
        <v>19</v>
      </c>
      <c r="D3" s="1" t="s">
        <v>18</v>
      </c>
      <c r="E3" s="1" t="s">
        <v>15</v>
      </c>
      <c r="F3" s="1" t="s">
        <v>17</v>
      </c>
      <c r="G3" s="1" t="s">
        <v>16</v>
      </c>
      <c r="H3" s="1" t="s">
        <v>15</v>
      </c>
      <c r="I3" s="1" t="s">
        <v>10</v>
      </c>
      <c r="J3" s="1" t="s">
        <v>9</v>
      </c>
      <c r="K3" s="1" t="s">
        <v>8</v>
      </c>
    </row>
    <row r="4" spans="1:11" x14ac:dyDescent="0.15">
      <c r="A4" s="1" t="s">
        <v>7</v>
      </c>
      <c r="B4" s="2">
        <f>'[1]Plate 1 - Sheet1'!E23</f>
        <v>6.825817923186343E-3</v>
      </c>
      <c r="C4" s="1" t="s">
        <v>6</v>
      </c>
      <c r="D4" s="1">
        <v>0.124</v>
      </c>
      <c r="E4" s="1">
        <f>(D4-0.0129)/0.659</f>
        <v>0.16858877086494689</v>
      </c>
      <c r="F4" s="1">
        <f>E4*2</f>
        <v>0.33717754172989378</v>
      </c>
      <c r="G4" s="1">
        <v>0.25</v>
      </c>
      <c r="H4" s="1">
        <f>(G4-0.0129)/0.659</f>
        <v>0.35978755690440062</v>
      </c>
      <c r="I4" s="1">
        <f>(H4/$H$7)*100</f>
        <v>42.713024680237801</v>
      </c>
    </row>
    <row r="5" spans="1:11" x14ac:dyDescent="0.15">
      <c r="A5" s="1" t="s">
        <v>6</v>
      </c>
      <c r="B5" s="1">
        <f>'[1]Plate 1 - Sheet1'!G23</f>
        <v>2.7635480489225394E-3</v>
      </c>
      <c r="C5" s="1" t="s">
        <v>5</v>
      </c>
      <c r="D5" s="1">
        <v>0.16</v>
      </c>
      <c r="E5" s="1">
        <f>(D5-0.0129)/0.659</f>
        <v>0.22321699544764795</v>
      </c>
      <c r="F5" s="1">
        <f>E5*2</f>
        <v>0.4464339908952959</v>
      </c>
      <c r="G5" s="1">
        <v>0.376</v>
      </c>
      <c r="H5" s="1">
        <f>(G5-0.0129)/0.659</f>
        <v>0.55098634294385429</v>
      </c>
      <c r="I5" s="1">
        <f>(H5/$H$7)*100</f>
        <v>65.411637542785101</v>
      </c>
      <c r="J5" s="1">
        <f>AVERAGE(I4:I6)</f>
        <v>46.976520747012557</v>
      </c>
      <c r="K5" s="1">
        <f>STDEVP(I4:I6)</f>
        <v>13.648757746546501</v>
      </c>
    </row>
    <row r="6" spans="1:11" x14ac:dyDescent="0.15">
      <c r="A6" s="1" t="s">
        <v>5</v>
      </c>
      <c r="B6" s="1">
        <f>'[1]Plate 1 - Sheet1 (1)'!I23</f>
        <v>3.8809015725101929E-3</v>
      </c>
      <c r="C6" s="1" t="s">
        <v>4</v>
      </c>
      <c r="D6" s="1">
        <v>9.8000000000000004E-2</v>
      </c>
      <c r="E6" s="1">
        <f>(D6-0.0129)/0.659</f>
        <v>0.12913505311077392</v>
      </c>
      <c r="F6" s="1">
        <f>E6*2</f>
        <v>0.25827010622154783</v>
      </c>
      <c r="G6" s="1">
        <v>0.19500000000000001</v>
      </c>
      <c r="H6" s="1">
        <f>(G6-0.0129)/0.659</f>
        <v>0.2763277693474962</v>
      </c>
      <c r="I6" s="1">
        <f>(H6/$H$7)*100</f>
        <v>32.804900018014777</v>
      </c>
    </row>
    <row r="7" spans="1:11" x14ac:dyDescent="0.15">
      <c r="A7" s="1" t="s">
        <v>4</v>
      </c>
      <c r="B7" s="1">
        <f>'[1]Plate 1 - Sheet1 (1)'!K23</f>
        <v>2.1323005241700647E-3</v>
      </c>
      <c r="C7" s="1" t="s">
        <v>7</v>
      </c>
      <c r="D7" s="1">
        <v>0.28699999999999998</v>
      </c>
      <c r="E7" s="1">
        <f>(D7-0.0129)/0.659</f>
        <v>0.41593323216995437</v>
      </c>
      <c r="F7" s="1">
        <f>E7*2</f>
        <v>0.83186646433990874</v>
      </c>
      <c r="G7" s="1">
        <v>0.56799999999999995</v>
      </c>
      <c r="H7" s="1">
        <f>(G7-0.0129)/0.659</f>
        <v>0.84233687405159319</v>
      </c>
      <c r="I7" s="1">
        <f>(H7/H7)*100</f>
        <v>100</v>
      </c>
    </row>
    <row r="9" spans="1:11" x14ac:dyDescent="0.15">
      <c r="E9" s="3" t="s">
        <v>9</v>
      </c>
      <c r="F9" s="3" t="s">
        <v>14</v>
      </c>
      <c r="G9" s="3" t="s">
        <v>13</v>
      </c>
      <c r="H9" s="3" t="s">
        <v>12</v>
      </c>
    </row>
    <row r="10" spans="1:11" x14ac:dyDescent="0.15">
      <c r="D10" s="1" t="s">
        <v>7</v>
      </c>
      <c r="E10" s="2">
        <f>AVERAGE(F7,H7)</f>
        <v>0.83710166919575091</v>
      </c>
      <c r="F10" s="1">
        <f>[1]Bradfords!H5</f>
        <v>12.503793626707132</v>
      </c>
      <c r="G10" s="1">
        <f>(1/100)*F10</f>
        <v>0.12503793626707133</v>
      </c>
      <c r="H10" s="1">
        <f>E10+G10</f>
        <v>0.96213960546282218</v>
      </c>
    </row>
    <row r="11" spans="1:11" x14ac:dyDescent="0.15">
      <c r="D11" s="1" t="s">
        <v>6</v>
      </c>
      <c r="E11" s="1">
        <f>AVERAGE(F4,H4)</f>
        <v>0.34848254931714717</v>
      </c>
      <c r="F11" s="1">
        <f>[1]Bradfords!H6</f>
        <v>22.518968133535658</v>
      </c>
      <c r="G11" s="1">
        <f>(1/100)*F11</f>
        <v>0.22518968133535658</v>
      </c>
      <c r="H11" s="1">
        <f>E11+G11</f>
        <v>0.57367223065250372</v>
      </c>
    </row>
    <row r="12" spans="1:11" x14ac:dyDescent="0.15">
      <c r="D12" s="1" t="s">
        <v>5</v>
      </c>
      <c r="E12" s="1">
        <f>AVERAGE(F5,H5)</f>
        <v>0.49871016691957509</v>
      </c>
      <c r="F12" s="1">
        <f>[1]Bradfords!H7</f>
        <v>17.663125948406673</v>
      </c>
      <c r="G12" s="1">
        <f>(1/100)*F12</f>
        <v>0.17663125948406674</v>
      </c>
      <c r="H12" s="1">
        <f>E12+G12</f>
        <v>0.67534142640364181</v>
      </c>
    </row>
    <row r="13" spans="1:11" x14ac:dyDescent="0.15">
      <c r="D13" s="1" t="s">
        <v>4</v>
      </c>
      <c r="E13" s="1">
        <f>AVERAGE(F6,H6)</f>
        <v>0.26729893778452202</v>
      </c>
      <c r="F13" s="1">
        <f>[1]Bradfords!H8</f>
        <v>28.861911987860395</v>
      </c>
      <c r="G13" s="1">
        <f>(1/100)*F13</f>
        <v>0.28861911987860395</v>
      </c>
      <c r="H13" s="1">
        <f>E13+G13</f>
        <v>0.55591805766312596</v>
      </c>
    </row>
    <row r="14" spans="1:11" x14ac:dyDescent="0.15">
      <c r="B14" s="1" t="s">
        <v>11</v>
      </c>
      <c r="C14" s="1" t="s">
        <v>10</v>
      </c>
      <c r="D14" s="1" t="s">
        <v>9</v>
      </c>
      <c r="E14" s="1" t="s">
        <v>8</v>
      </c>
    </row>
    <row r="15" spans="1:11" x14ac:dyDescent="0.15">
      <c r="A15" s="1" t="s">
        <v>7</v>
      </c>
      <c r="B15" s="2">
        <f>B4/E10</f>
        <v>8.1541086039695482E-3</v>
      </c>
      <c r="C15" s="1">
        <f>(B15/$B$15)*100</f>
        <v>100</v>
      </c>
    </row>
    <row r="16" spans="1:11" x14ac:dyDescent="0.15">
      <c r="A16" s="1" t="s">
        <v>6</v>
      </c>
      <c r="B16" s="1">
        <f>B5/E11</f>
        <v>7.9302336783799408E-3</v>
      </c>
      <c r="C16" s="1">
        <f>(B16/$B$15)*100</f>
        <v>97.254452491831884</v>
      </c>
    </row>
    <row r="17" spans="1:5" x14ac:dyDescent="0.15">
      <c r="A17" s="1" t="s">
        <v>5</v>
      </c>
      <c r="B17" s="1">
        <f>B6/E12</f>
        <v>7.7818777918278329E-3</v>
      </c>
      <c r="C17" s="1">
        <f>(B17/$B$15)*100</f>
        <v>95.435052067365064</v>
      </c>
      <c r="D17" s="1">
        <f>AVERAGE(C16:C18)</f>
        <v>96.84003276362607</v>
      </c>
      <c r="E17" s="1">
        <f>_xlfn.STDEV.P(C16:C18)</f>
        <v>1.0209351104790481</v>
      </c>
    </row>
    <row r="18" spans="1:5" x14ac:dyDescent="0.15">
      <c r="A18" s="1" t="s">
        <v>4</v>
      </c>
      <c r="B18" s="1">
        <f>B7/E13</f>
        <v>7.9772128607895117E-3</v>
      </c>
      <c r="C18" s="1">
        <f>(B18/$B$15)*100</f>
        <v>97.830593731681219</v>
      </c>
    </row>
  </sheetData>
  <mergeCells count="1">
    <mergeCell ref="D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2E8E-88B6-B647-9FDE-ADEC83D897CF}">
  <dimension ref="A1:J11"/>
  <sheetViews>
    <sheetView workbookViewId="0">
      <selection activeCell="E11" sqref="E11"/>
    </sheetView>
  </sheetViews>
  <sheetFormatPr baseColWidth="10" defaultRowHeight="13" x14ac:dyDescent="0.15"/>
  <cols>
    <col min="1" max="1" width="10.83203125" style="1"/>
    <col min="2" max="2" width="12.83203125" style="1" bestFit="1" customWidth="1"/>
    <col min="3" max="7" width="10.83203125" style="1"/>
    <col min="8" max="8" width="12.83203125" style="1" bestFit="1" customWidth="1"/>
    <col min="9" max="9" width="13.1640625" style="1" bestFit="1" customWidth="1"/>
    <col min="10" max="16384" width="10.83203125" style="1"/>
  </cols>
  <sheetData>
    <row r="1" spans="1:10" x14ac:dyDescent="0.15">
      <c r="B1" s="1" t="s">
        <v>19</v>
      </c>
      <c r="E1" s="1" t="s">
        <v>24</v>
      </c>
      <c r="F1" s="1" t="s">
        <v>15</v>
      </c>
      <c r="G1" s="1" t="s">
        <v>17</v>
      </c>
      <c r="H1" s="1" t="s">
        <v>10</v>
      </c>
      <c r="I1" s="1" t="s">
        <v>9</v>
      </c>
      <c r="J1" s="1" t="s">
        <v>8</v>
      </c>
    </row>
    <row r="2" spans="1:10" x14ac:dyDescent="0.15">
      <c r="A2" s="1" t="s">
        <v>21</v>
      </c>
      <c r="B2" s="1">
        <f>[3]Tabelle1!$H$4</f>
        <v>7.5137505926979619E-4</v>
      </c>
      <c r="E2" s="1">
        <v>6.0999999999999999E-2</v>
      </c>
      <c r="F2" s="1">
        <f>(E2/0.659)-0.0129</f>
        <v>7.9664491654021244E-2</v>
      </c>
      <c r="G2" s="1">
        <f>F2*2</f>
        <v>0.15932898330804249</v>
      </c>
      <c r="H2" s="1">
        <f>(G2/$G$2)*100</f>
        <v>100</v>
      </c>
    </row>
    <row r="3" spans="1:10" x14ac:dyDescent="0.15">
      <c r="A3" s="1" t="s">
        <v>6</v>
      </c>
      <c r="B3" s="1">
        <f>[3]Tabelle1!$J$4</f>
        <v>8.7719298245614111E-7</v>
      </c>
      <c r="E3" s="1">
        <v>2.4E-2</v>
      </c>
      <c r="F3" s="1">
        <f>(E3/0.659)-0.0129</f>
        <v>2.3518816388467374E-2</v>
      </c>
      <c r="G3" s="1">
        <f>F3*2</f>
        <v>4.7037632776934749E-2</v>
      </c>
      <c r="H3" s="1">
        <f>(G3/$G$2)*100</f>
        <v>29.52233284887874</v>
      </c>
    </row>
    <row r="4" spans="1:10" x14ac:dyDescent="0.15">
      <c r="A4" s="1" t="s">
        <v>5</v>
      </c>
      <c r="B4" s="1">
        <f>'[2]Plate 1 - Sheet1'!AG23</f>
        <v>1.5384615384615398E-6</v>
      </c>
      <c r="E4" s="1">
        <v>2.8000000000000001E-2</v>
      </c>
      <c r="F4" s="1">
        <f>(E4/0.659)-0.0129</f>
        <v>2.9588619119878604E-2</v>
      </c>
      <c r="G4" s="1">
        <f>F4*2</f>
        <v>5.9177238239757207E-2</v>
      </c>
      <c r="H4" s="1">
        <f>(G4/$G$2)*100</f>
        <v>37.141540108459417</v>
      </c>
      <c r="I4" s="1">
        <f>AVERAGE(H3:H5)</f>
        <v>35.236738293564251</v>
      </c>
      <c r="J4" s="1">
        <f>STDEVP(H3:H5)</f>
        <v>4.1148422147307091</v>
      </c>
    </row>
    <row r="5" spans="1:10" x14ac:dyDescent="0.15">
      <c r="A5" s="1" t="s">
        <v>4</v>
      </c>
      <c r="B5" s="1">
        <f>'[2]Plate 1 - Sheet1'!AI23</f>
        <v>1.0307692307692317E-5</v>
      </c>
      <c r="E5" s="1">
        <v>2.9000000000000001E-2</v>
      </c>
      <c r="F5" s="1">
        <f>(E5/0.659)-0.0129</f>
        <v>3.1106069802731409E-2</v>
      </c>
      <c r="G5" s="1">
        <f>F5*2</f>
        <v>6.2212139605462818E-2</v>
      </c>
      <c r="H5" s="1">
        <f>(G5/$G$2)*100</f>
        <v>39.046341923354582</v>
      </c>
    </row>
    <row r="7" spans="1:10" x14ac:dyDescent="0.15">
      <c r="B7" s="1" t="s">
        <v>11</v>
      </c>
      <c r="C7" s="1" t="s">
        <v>10</v>
      </c>
      <c r="D7" s="1" t="s">
        <v>9</v>
      </c>
      <c r="E7" s="1" t="s">
        <v>8</v>
      </c>
      <c r="G7" s="1" t="s">
        <v>9</v>
      </c>
      <c r="H7" s="1" t="s">
        <v>23</v>
      </c>
      <c r="I7" s="1" t="s">
        <v>22</v>
      </c>
    </row>
    <row r="8" spans="1:10" x14ac:dyDescent="0.15">
      <c r="A8" s="1" t="s">
        <v>21</v>
      </c>
      <c r="B8" s="1">
        <f>B2/G8</f>
        <v>4.7158717997786209E-3</v>
      </c>
      <c r="C8" s="1">
        <f>(B8/$B$8)*100</f>
        <v>100</v>
      </c>
      <c r="F8" s="1" t="s">
        <v>21</v>
      </c>
      <c r="G8" s="1">
        <f>AVERAGE(G2,I2)</f>
        <v>0.15932898330804249</v>
      </c>
      <c r="H8" s="1">
        <f>[2]Tabelle2!G5</f>
        <v>0.39514415781487106</v>
      </c>
      <c r="I8" s="1">
        <f>H8+G8</f>
        <v>0.55447314112291357</v>
      </c>
    </row>
    <row r="9" spans="1:10" x14ac:dyDescent="0.15">
      <c r="A9" s="1" t="s">
        <v>6</v>
      </c>
      <c r="B9" s="1">
        <f>B3/G9</f>
        <v>1.8648748473717394E-5</v>
      </c>
      <c r="C9" s="1">
        <f>(B9/$B$8)*100</f>
        <v>0.39544646812902823</v>
      </c>
      <c r="F9" s="1" t="s">
        <v>6</v>
      </c>
      <c r="G9" s="1">
        <f>AVERAGE(G3)</f>
        <v>4.7037632776934749E-2</v>
      </c>
      <c r="H9" s="1">
        <f>[2]Tabelle2!G6</f>
        <v>0.17359635811836113</v>
      </c>
      <c r="I9" s="1">
        <f>H9+G9</f>
        <v>0.2206339908952959</v>
      </c>
    </row>
    <row r="10" spans="1:10" x14ac:dyDescent="0.15">
      <c r="A10" s="1" t="s">
        <v>5</v>
      </c>
      <c r="B10" s="1">
        <f>B4/G10</f>
        <v>2.5997521753692638E-5</v>
      </c>
      <c r="C10" s="1">
        <f>(B10/$B$8)*100</f>
        <v>0.55127710967276611</v>
      </c>
      <c r="D10" s="1">
        <f>AVERAGE(C9:C11)</f>
        <v>1.4866990166212137</v>
      </c>
      <c r="E10" s="1">
        <f>STDEVP(C9:C11)</f>
        <v>1.4344866232588054</v>
      </c>
      <c r="F10" s="1" t="s">
        <v>5</v>
      </c>
      <c r="G10" s="1">
        <f>G4</f>
        <v>5.9177238239757207E-2</v>
      </c>
      <c r="H10" s="1">
        <f>[2]Tabelle2!G7</f>
        <v>0.34962063732928678</v>
      </c>
      <c r="I10" s="1">
        <f>H10+G10</f>
        <v>0.40879787556904401</v>
      </c>
    </row>
    <row r="11" spans="1:10" x14ac:dyDescent="0.15">
      <c r="A11" s="1" t="s">
        <v>4</v>
      </c>
      <c r="B11" s="1">
        <f>B5/G11</f>
        <v>1.6568618878986768E-4</v>
      </c>
      <c r="C11" s="1">
        <f>(B11/$B$8)*100</f>
        <v>3.5133734720618475</v>
      </c>
      <c r="F11" s="1" t="s">
        <v>4</v>
      </c>
      <c r="G11" s="1">
        <f>AVERAGE(G5,I5)</f>
        <v>6.2212139605462818E-2</v>
      </c>
      <c r="H11" s="1">
        <f>[2]Tabelle2!G8</f>
        <v>0.31927162367223066</v>
      </c>
      <c r="I11" s="1">
        <f>H11+G11</f>
        <v>0.38148376327769351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43EE-A087-474B-91E1-30B025549597}">
  <dimension ref="A1:L14"/>
  <sheetViews>
    <sheetView workbookViewId="0">
      <selection activeCell="H8" sqref="H8"/>
    </sheetView>
  </sheetViews>
  <sheetFormatPr baseColWidth="10" defaultRowHeight="13" x14ac:dyDescent="0.15"/>
  <cols>
    <col min="1" max="1" width="10.83203125" style="1"/>
    <col min="2" max="2" width="12.83203125" style="1" bestFit="1" customWidth="1"/>
    <col min="3" max="6" width="10.83203125" style="1"/>
    <col min="7" max="7" width="12.83203125" style="1" bestFit="1" customWidth="1"/>
    <col min="8" max="16384" width="10.83203125" style="1"/>
  </cols>
  <sheetData>
    <row r="1" spans="1:12" x14ac:dyDescent="0.15">
      <c r="B1" s="1" t="s">
        <v>31</v>
      </c>
      <c r="D1" s="1" t="s">
        <v>30</v>
      </c>
      <c r="E1" s="1" t="s">
        <v>28</v>
      </c>
      <c r="F1" s="1" t="s">
        <v>17</v>
      </c>
      <c r="G1" s="1" t="s">
        <v>29</v>
      </c>
      <c r="H1" s="1" t="s">
        <v>17</v>
      </c>
      <c r="I1" s="1" t="s">
        <v>28</v>
      </c>
      <c r="J1" s="1" t="s">
        <v>27</v>
      </c>
      <c r="K1" s="1" t="s">
        <v>9</v>
      </c>
      <c r="L1" s="1" t="s">
        <v>8</v>
      </c>
    </row>
    <row r="2" spans="1:12" x14ac:dyDescent="0.15">
      <c r="A2" s="1" t="s">
        <v>7</v>
      </c>
      <c r="B2" s="1">
        <f>'[4]Plate 1 - Sheet1'!Q23</f>
        <v>2.2143406593406592E-2</v>
      </c>
      <c r="D2" s="1">
        <v>0.30099999999999999</v>
      </c>
      <c r="E2" s="1">
        <f>(D2/0.659)-0.0129</f>
        <v>0.44385265553869491</v>
      </c>
      <c r="F2" s="1">
        <f>E2*2</f>
        <v>0.88770531107738981</v>
      </c>
      <c r="G2" s="1">
        <v>0.32</v>
      </c>
      <c r="H2" s="1">
        <f>G2*2</f>
        <v>0.64</v>
      </c>
      <c r="I2" s="1">
        <f>(H2/0.659)-0.0129</f>
        <v>0.95826843702579656</v>
      </c>
      <c r="J2" s="1">
        <f>(I2/$I$2)*100</f>
        <v>100</v>
      </c>
    </row>
    <row r="3" spans="1:12" x14ac:dyDescent="0.15">
      <c r="A3" s="1" t="s">
        <v>6</v>
      </c>
      <c r="B3" s="1">
        <f>'[4]Plate 1 - Sheet1'!S23</f>
        <v>5.8436363636363651E-3</v>
      </c>
      <c r="D3" s="1">
        <v>0.11</v>
      </c>
      <c r="E3" s="1">
        <f>(D3/0.659)-0.0129</f>
        <v>0.15401957511380879</v>
      </c>
      <c r="F3" s="1">
        <f>E3*2</f>
        <v>0.30803915022761758</v>
      </c>
      <c r="G3" s="1">
        <v>0.16</v>
      </c>
      <c r="H3" s="1">
        <f>G3*2</f>
        <v>0.32</v>
      </c>
      <c r="I3" s="1">
        <f>(H3/0.659)-0.0129</f>
        <v>0.47268421851289827</v>
      </c>
      <c r="J3" s="1">
        <f>(I3/$I$2)*100</f>
        <v>49.326910941570915</v>
      </c>
    </row>
    <row r="4" spans="1:12" x14ac:dyDescent="0.15">
      <c r="A4" s="1" t="s">
        <v>5</v>
      </c>
      <c r="B4" s="1">
        <f>'[4]Plate 1 - Sheet1 (1)'!U23</f>
        <v>1.6985194805194809E-2</v>
      </c>
      <c r="D4" s="1">
        <v>0.32</v>
      </c>
      <c r="E4" s="1">
        <f>(D4/0.659)-0.0129</f>
        <v>0.47268421851289827</v>
      </c>
      <c r="F4" s="1">
        <f>E4*2</f>
        <v>0.94536843702579654</v>
      </c>
      <c r="G4" s="1">
        <v>0.27</v>
      </c>
      <c r="H4" s="1">
        <f>G4*2</f>
        <v>0.54</v>
      </c>
      <c r="I4" s="1">
        <f>(H4/0.659)-0.0129</f>
        <v>0.80652336874051589</v>
      </c>
      <c r="J4" s="1">
        <f>(I4/$I$2)*100</f>
        <v>84.164659669240919</v>
      </c>
      <c r="K4" s="1">
        <f>AVERAGE(J3:J5)</f>
        <v>65.16225127233001</v>
      </c>
      <c r="L4" s="1">
        <f>_xlfn.STDEV.P(J3:J5)</f>
        <v>14.397683244300042</v>
      </c>
    </row>
    <row r="5" spans="1:12" x14ac:dyDescent="0.15">
      <c r="A5" s="1" t="s">
        <v>4</v>
      </c>
      <c r="B5" s="1">
        <f>'[4]Plate 1 - Sheet1 (1)'!W23</f>
        <v>8.2648051948051946E-3</v>
      </c>
      <c r="D5" s="1">
        <v>0.17</v>
      </c>
      <c r="E5" s="1">
        <f>(D5/0.659)-0.0129</f>
        <v>0.24506661608497723</v>
      </c>
      <c r="F5" s="1">
        <f>E5*2</f>
        <v>0.49013323216995447</v>
      </c>
      <c r="G5" s="1">
        <v>0.2</v>
      </c>
      <c r="H5" s="1">
        <f>G5*2</f>
        <v>0.4</v>
      </c>
      <c r="I5" s="1">
        <f>(H5/0.659)-0.0129</f>
        <v>0.59408027314112288</v>
      </c>
      <c r="J5" s="1">
        <f>(I5/$I$2)*100</f>
        <v>61.995183206178197</v>
      </c>
    </row>
    <row r="7" spans="1:12" x14ac:dyDescent="0.15">
      <c r="B7" s="1" t="s">
        <v>11</v>
      </c>
      <c r="C7" s="1" t="s">
        <v>10</v>
      </c>
      <c r="F7" s="1" t="s">
        <v>26</v>
      </c>
      <c r="G7" s="1" t="s">
        <v>23</v>
      </c>
      <c r="H7" s="1" t="s">
        <v>25</v>
      </c>
    </row>
    <row r="8" spans="1:12" x14ac:dyDescent="0.15">
      <c r="A8" s="1" t="s">
        <v>7</v>
      </c>
      <c r="B8" s="1">
        <f>B2/F8</f>
        <v>2.3991030875883092E-2</v>
      </c>
      <c r="C8" s="1">
        <f>(B8/$B$8)*100</f>
        <v>100</v>
      </c>
      <c r="E8" s="1" t="s">
        <v>7</v>
      </c>
      <c r="F8" s="1">
        <f>AVERAGE(F2,I2)</f>
        <v>0.92298687405159319</v>
      </c>
      <c r="G8" s="1">
        <f>[4]Tabelle2!F6</f>
        <v>7.6479514415781477E-2</v>
      </c>
      <c r="H8" s="1">
        <f>F8+G8</f>
        <v>0.99946638846737468</v>
      </c>
    </row>
    <row r="9" spans="1:12" x14ac:dyDescent="0.15">
      <c r="A9" s="1" t="s">
        <v>6</v>
      </c>
      <c r="B9" s="1">
        <f>B3/F9</f>
        <v>1.4969800053669402E-2</v>
      </c>
      <c r="C9" s="1">
        <f>(B9/$B$8)*100</f>
        <v>62.397485673355312</v>
      </c>
      <c r="E9" s="1" t="s">
        <v>6</v>
      </c>
      <c r="F9" s="1">
        <f>AVERAGE(F3,I3)</f>
        <v>0.39036168437025792</v>
      </c>
      <c r="G9" s="1">
        <f>[4]Tabelle2!F7</f>
        <v>7.0409711684370269E-2</v>
      </c>
      <c r="H9" s="1">
        <f>F9+G9</f>
        <v>0.46077139605462819</v>
      </c>
    </row>
    <row r="10" spans="1:12" x14ac:dyDescent="0.15">
      <c r="A10" s="1" t="s">
        <v>5</v>
      </c>
      <c r="B10" s="1">
        <f>B4/F10</f>
        <v>1.9390689252941788E-2</v>
      </c>
      <c r="C10" s="1">
        <f>(B10/$B$8)*100</f>
        <v>80.824743852229446</v>
      </c>
      <c r="E10" s="1" t="s">
        <v>5</v>
      </c>
      <c r="F10" s="1">
        <f>AVERAGE(F4,I4)</f>
        <v>0.87594590288315621</v>
      </c>
      <c r="G10" s="1">
        <f>[4]Tabelle2!F8</f>
        <v>7.9514415781487102E-2</v>
      </c>
      <c r="H10" s="1">
        <f>F10+G10</f>
        <v>0.95546031866464332</v>
      </c>
    </row>
    <row r="11" spans="1:12" x14ac:dyDescent="0.15">
      <c r="A11" s="1" t="s">
        <v>4</v>
      </c>
      <c r="B11" s="1">
        <f>B5/F11</f>
        <v>1.5245715266079252E-2</v>
      </c>
      <c r="C11" s="1">
        <f>(B11/$B$8)*100</f>
        <v>63.547562190855913</v>
      </c>
      <c r="E11" s="1" t="s">
        <v>4</v>
      </c>
      <c r="F11" s="1">
        <f>AVERAGE(F5,I5)</f>
        <v>0.54210675265553865</v>
      </c>
      <c r="G11" s="1">
        <f>[4]Tabelle2!F9</f>
        <v>6.4339908952959018E-2</v>
      </c>
      <c r="H11" s="1">
        <f>F11+G11</f>
        <v>0.60644666160849769</v>
      </c>
    </row>
    <row r="13" spans="1:12" x14ac:dyDescent="0.15">
      <c r="C13" s="1" t="s">
        <v>9</v>
      </c>
      <c r="D13" s="1" t="s">
        <v>8</v>
      </c>
    </row>
    <row r="14" spans="1:12" x14ac:dyDescent="0.15">
      <c r="C14" s="1">
        <f>AVERAGE(C9:C11)</f>
        <v>68.923263905480226</v>
      </c>
      <c r="D14" s="1">
        <f>_xlfn.STDEV.P(C9:C11)</f>
        <v>8.4287044354863756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1285-3D78-D944-A152-0A40B48B7B34}">
  <dimension ref="A1:G21"/>
  <sheetViews>
    <sheetView workbookViewId="0">
      <selection activeCell="C15" sqref="C15"/>
    </sheetView>
  </sheetViews>
  <sheetFormatPr baseColWidth="10" defaultRowHeight="13" x14ac:dyDescent="0.15"/>
  <cols>
    <col min="1" max="1" width="10.83203125" style="1"/>
    <col min="2" max="2" width="12.83203125" style="1" bestFit="1" customWidth="1"/>
    <col min="3" max="3" width="16.6640625" style="1" bestFit="1" customWidth="1"/>
    <col min="4" max="5" width="10.83203125" style="1"/>
    <col min="6" max="6" width="21.83203125" style="1" bestFit="1" customWidth="1"/>
    <col min="7" max="7" width="13.5" style="1" bestFit="1" customWidth="1"/>
    <col min="8" max="16384" width="10.83203125" style="1"/>
  </cols>
  <sheetData>
    <row r="1" spans="1:7" x14ac:dyDescent="0.15">
      <c r="B1" s="1" t="s">
        <v>31</v>
      </c>
      <c r="D1" s="1" t="s">
        <v>37</v>
      </c>
      <c r="E1" s="1" t="s">
        <v>28</v>
      </c>
      <c r="F1" s="1" t="s">
        <v>17</v>
      </c>
    </row>
    <row r="2" spans="1:7" x14ac:dyDescent="0.15">
      <c r="A2" s="1" t="s">
        <v>7</v>
      </c>
      <c r="B2" s="1">
        <f>'[5]Plate 1 - Sheet1'!BM22</f>
        <v>1.4100000000000001E-2</v>
      </c>
      <c r="D2" s="1">
        <v>0.30599999999999999</v>
      </c>
      <c r="E2" s="1">
        <f>(D2/0.659)-0.0129</f>
        <v>0.45143990895295899</v>
      </c>
      <c r="F2" s="1">
        <f>E2*2</f>
        <v>0.90287981790591798</v>
      </c>
    </row>
    <row r="3" spans="1:7" x14ac:dyDescent="0.15">
      <c r="A3" s="1" t="s">
        <v>6</v>
      </c>
      <c r="B3" s="1">
        <f>'[5]Plate 1 - Sheet1'!BO22</f>
        <v>5.6623076923076922E-3</v>
      </c>
      <c r="D3" s="1">
        <v>0.17</v>
      </c>
      <c r="E3" s="1">
        <f>(D3/0.659)-0.0129</f>
        <v>0.24506661608497723</v>
      </c>
      <c r="F3" s="1">
        <f>E3*2</f>
        <v>0.49013323216995447</v>
      </c>
    </row>
    <row r="4" spans="1:7" x14ac:dyDescent="0.15">
      <c r="A4" s="1" t="s">
        <v>5</v>
      </c>
      <c r="B4" s="1">
        <f>'[5]Plate 1 - Sheet1 (1)'!BQ22</f>
        <v>3.5333076923076924E-3</v>
      </c>
      <c r="D4" s="1">
        <v>0.14099999999999999</v>
      </c>
      <c r="E4" s="1">
        <f>(D4/0.659)-0.0129</f>
        <v>0.20106054628224579</v>
      </c>
      <c r="F4" s="1">
        <f>E4*2</f>
        <v>0.40212109256449158</v>
      </c>
    </row>
    <row r="5" spans="1:7" x14ac:dyDescent="0.15">
      <c r="A5" s="1" t="s">
        <v>4</v>
      </c>
      <c r="B5" s="1">
        <f>'[5]Plate 1 - Sheet1 (1)'!BS22</f>
        <v>2.8611538461538466E-3</v>
      </c>
      <c r="D5" s="1">
        <v>9.8000000000000004E-2</v>
      </c>
      <c r="E5" s="1">
        <f>(D5/0.659)-0.0129</f>
        <v>0.13581016691957512</v>
      </c>
      <c r="F5" s="1">
        <f>E5*2</f>
        <v>0.27162033383915024</v>
      </c>
    </row>
    <row r="7" spans="1:7" x14ac:dyDescent="0.15">
      <c r="B7" s="1" t="s">
        <v>11</v>
      </c>
      <c r="C7" s="1" t="s">
        <v>36</v>
      </c>
      <c r="F7" s="1" t="s">
        <v>35</v>
      </c>
      <c r="G7" s="5" t="s">
        <v>34</v>
      </c>
    </row>
    <row r="8" spans="1:7" x14ac:dyDescent="0.15">
      <c r="A8" s="1" t="s">
        <v>7</v>
      </c>
      <c r="B8" s="1">
        <f>B2/F8</f>
        <v>1.5616696397869037E-2</v>
      </c>
      <c r="C8" s="1">
        <f>(B8/$B$8)*100</f>
        <v>100</v>
      </c>
      <c r="E8" s="1" t="s">
        <v>7</v>
      </c>
      <c r="F8" s="1">
        <f>AVERAGE(F2,H2)</f>
        <v>0.90287981790591798</v>
      </c>
      <c r="G8" s="1">
        <f>F8/20</f>
        <v>4.5143990895295902E-2</v>
      </c>
    </row>
    <row r="9" spans="1:7" x14ac:dyDescent="0.15">
      <c r="A9" s="1" t="s">
        <v>6</v>
      </c>
      <c r="B9" s="1">
        <f>B3/F9</f>
        <v>1.1552588807820887E-2</v>
      </c>
      <c r="C9" s="1">
        <f>(B9/$B$8)*100</f>
        <v>73.975881412391971</v>
      </c>
      <c r="E9" s="1" t="s">
        <v>6</v>
      </c>
      <c r="F9" s="1">
        <f>AVERAGE(F3,H3)</f>
        <v>0.49013323216995447</v>
      </c>
      <c r="G9" s="1">
        <f>F9/20</f>
        <v>2.4506661608497723E-2</v>
      </c>
    </row>
    <row r="10" spans="1:7" x14ac:dyDescent="0.15">
      <c r="A10" s="1" t="s">
        <v>5</v>
      </c>
      <c r="B10" s="1">
        <f>B4/F10</f>
        <v>8.7866758487458001E-3</v>
      </c>
      <c r="C10" s="1">
        <f>(B10/$B$8)*100</f>
        <v>56.26462617243925</v>
      </c>
      <c r="E10" s="1" t="s">
        <v>5</v>
      </c>
      <c r="F10" s="1">
        <f>AVERAGE(F4,H4)</f>
        <v>0.40212109256449158</v>
      </c>
      <c r="G10" s="1">
        <f>F10/20</f>
        <v>2.0106054628224578E-2</v>
      </c>
    </row>
    <row r="11" spans="1:7" x14ac:dyDescent="0.15">
      <c r="A11" s="1" t="s">
        <v>4</v>
      </c>
      <c r="B11" s="1">
        <f>B5/F11</f>
        <v>1.0533651165631002E-2</v>
      </c>
      <c r="C11" s="1">
        <f>(B11/$B$8)*100</f>
        <v>67.451213094392756</v>
      </c>
      <c r="E11" s="1" t="s">
        <v>4</v>
      </c>
      <c r="F11" s="1">
        <f>AVERAGE(F5,H5)</f>
        <v>0.27162033383915024</v>
      </c>
      <c r="G11" s="1">
        <f>F11/20</f>
        <v>1.3581016691957512E-2</v>
      </c>
    </row>
    <row r="12" spans="1:7" x14ac:dyDescent="0.15">
      <c r="F12" s="1" t="s">
        <v>33</v>
      </c>
      <c r="G12" s="1" t="s">
        <v>32</v>
      </c>
    </row>
    <row r="13" spans="1:7" x14ac:dyDescent="0.15">
      <c r="F13" s="1">
        <f>[5]Tabelle2!I6</f>
        <v>7.3444613050075866E-2</v>
      </c>
      <c r="G13" s="1">
        <f>F8+F13</f>
        <v>0.97632443095599386</v>
      </c>
    </row>
    <row r="14" spans="1:7" x14ac:dyDescent="0.15">
      <c r="C14" s="1" t="s">
        <v>9</v>
      </c>
      <c r="D14" s="1" t="s">
        <v>8</v>
      </c>
      <c r="F14" s="1">
        <f>[5]Tabelle2!I7</f>
        <v>4.3095599393019726E-2</v>
      </c>
      <c r="G14" s="1">
        <f>F9+F14</f>
        <v>0.53322883156297418</v>
      </c>
    </row>
    <row r="15" spans="1:7" x14ac:dyDescent="0.15">
      <c r="C15" s="1">
        <f>AVERAGE(C9:C11)</f>
        <v>65.897240226407988</v>
      </c>
      <c r="D15" s="1">
        <f>_xlfn.STDEV.P(C9:C11)</f>
        <v>7.3136066934407582</v>
      </c>
      <c r="F15" s="1">
        <f>[5]Tabelle2!I8</f>
        <v>7.3444613050075866E-2</v>
      </c>
      <c r="G15" s="1">
        <f>F10+F15</f>
        <v>0.47556570561456746</v>
      </c>
    </row>
    <row r="16" spans="1:7" x14ac:dyDescent="0.15">
      <c r="F16" s="1">
        <f>[5]Tabelle2!I9</f>
        <v>3.9757207890743544E-2</v>
      </c>
      <c r="G16" s="1">
        <f>F11+F16</f>
        <v>0.31137754172989379</v>
      </c>
    </row>
    <row r="18" spans="1:5" x14ac:dyDescent="0.15">
      <c r="A18" s="1" t="s">
        <v>7</v>
      </c>
      <c r="B18" s="1">
        <f>B2/G8</f>
        <v>0.31233392795738074</v>
      </c>
      <c r="C18" s="1">
        <f>(B18/$B$18)*100</f>
        <v>100</v>
      </c>
    </row>
    <row r="19" spans="1:5" x14ac:dyDescent="0.15">
      <c r="A19" s="1" t="s">
        <v>6</v>
      </c>
      <c r="B19" s="1">
        <f>B3/G9</f>
        <v>0.23105177615641773</v>
      </c>
      <c r="C19" s="1">
        <f>(B19/$B$18)*100</f>
        <v>73.975881412391971</v>
      </c>
    </row>
    <row r="20" spans="1:5" x14ac:dyDescent="0.15">
      <c r="A20" s="1" t="s">
        <v>5</v>
      </c>
      <c r="B20" s="1">
        <f>B4/G10</f>
        <v>0.17573351697491602</v>
      </c>
      <c r="C20" s="1">
        <f>(B20/$B$18)*100</f>
        <v>56.264626172439257</v>
      </c>
      <c r="D20" s="1">
        <f>AVERAGE(C19:C21)</f>
        <v>65.897240226407988</v>
      </c>
      <c r="E20" s="1">
        <f>_xlfn.STDEV.P(C19:C21)</f>
        <v>7.3136066934408133</v>
      </c>
    </row>
    <row r="21" spans="1:5" x14ac:dyDescent="0.15">
      <c r="A21" s="1" t="s">
        <v>4</v>
      </c>
      <c r="B21" s="1">
        <f>B5/G11</f>
        <v>0.21067302331262003</v>
      </c>
      <c r="C21" s="1">
        <f>(B21/$B$18)*100</f>
        <v>67.451213094392756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69C9-26E5-0341-BFBC-4EFF718BF307}">
  <dimension ref="A3:C6"/>
  <sheetViews>
    <sheetView tabSelected="1" workbookViewId="0">
      <selection activeCell="C13" sqref="C13"/>
    </sheetView>
  </sheetViews>
  <sheetFormatPr baseColWidth="10" defaultRowHeight="16" x14ac:dyDescent="0.2"/>
  <sheetData>
    <row r="3" spans="1:3" x14ac:dyDescent="0.2">
      <c r="A3" t="s">
        <v>0</v>
      </c>
      <c r="B3">
        <f>VCPO!D17</f>
        <v>96.84003276362607</v>
      </c>
      <c r="C3">
        <f>VCPO!E17</f>
        <v>1.0209351104790481</v>
      </c>
    </row>
    <row r="4" spans="1:3" x14ac:dyDescent="0.2">
      <c r="A4" t="s">
        <v>1</v>
      </c>
      <c r="B4">
        <f>LdhA!D20</f>
        <v>65.897240226407988</v>
      </c>
      <c r="C4">
        <f>LdhA!E20</f>
        <v>7.3136066934408133</v>
      </c>
    </row>
    <row r="5" spans="1:3" x14ac:dyDescent="0.2">
      <c r="A5" t="s">
        <v>2</v>
      </c>
      <c r="B5">
        <f>LacZ!C14</f>
        <v>68.923263905480226</v>
      </c>
      <c r="C5">
        <f>LacZ!D14</f>
        <v>8.4287044354863756</v>
      </c>
    </row>
    <row r="6" spans="1:3" x14ac:dyDescent="0.2">
      <c r="A6" t="s">
        <v>3</v>
      </c>
      <c r="B6">
        <f>GapA!D10</f>
        <v>1.4866990166212137</v>
      </c>
      <c r="C6">
        <f>GapA!E10</f>
        <v>1.4344866232588054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VCPO</vt:lpstr>
      <vt:lpstr>GapA</vt:lpstr>
      <vt:lpstr>LacZ</vt:lpstr>
      <vt:lpstr>LdhA</vt:lpstr>
      <vt:lpstr>Together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Dirks</dc:creator>
  <cp:lastModifiedBy>Microsoft Office User</cp:lastModifiedBy>
  <dcterms:created xsi:type="dcterms:W3CDTF">2020-11-13T10:58:12Z</dcterms:created>
  <dcterms:modified xsi:type="dcterms:W3CDTF">2023-08-07T08:45:14Z</dcterms:modified>
</cp:coreProperties>
</file>