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mDirks/Documents/PostDoc/Manuskripte/CypC/Excel Sheets/"/>
    </mc:Choice>
  </mc:AlternateContent>
  <xr:revisionPtr revIDLastSave="0" documentId="8_{92C73B57-9E1C-9C4A-8EC1-3E1688085A5C}" xr6:coauthVersionLast="47" xr6:coauthVersionMax="47" xr10:uidLastSave="{00000000-0000-0000-0000-000000000000}"/>
  <bookViews>
    <workbookView xWindow="-34840" yWindow="1060" windowWidth="30760" windowHeight="19080" xr2:uid="{1BCDF726-36F3-794E-9C2B-26A0F344810D}"/>
  </bookViews>
  <sheets>
    <sheet name="Guaia before reconst" sheetId="1" r:id="rId1"/>
    <sheet name="guai bef recons spec. Activity" sheetId="2" r:id="rId2"/>
    <sheet name="gauaia after reconst" sheetId="3" r:id="rId3"/>
    <sheet name="guaia after reconst 2" sheetId="6" r:id="rId4"/>
    <sheet name="guai after recons spec. Act" sheetId="5" r:id="rId5"/>
    <sheet name="Together" sheetId="7" r:id="rId6"/>
  </sheets>
  <externalReferences>
    <externalReference r:id="rId7"/>
  </externalReferences>
  <definedNames>
    <definedName name="MethodPointer1">1681971520</definedName>
    <definedName name="MethodPointer2">582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5" l="1"/>
  <c r="D28" i="2"/>
  <c r="I5" i="7"/>
  <c r="J5" i="7"/>
  <c r="I6" i="7"/>
  <c r="J6" i="7"/>
  <c r="I7" i="7"/>
  <c r="J7" i="7"/>
  <c r="I8" i="7"/>
  <c r="J8" i="7"/>
  <c r="I9" i="7"/>
  <c r="J9" i="7"/>
  <c r="I10" i="7"/>
  <c r="J10" i="7"/>
  <c r="I11" i="7"/>
  <c r="J11" i="7"/>
  <c r="I12" i="7"/>
  <c r="J12" i="7"/>
  <c r="I13" i="7"/>
  <c r="J13" i="7"/>
  <c r="I14" i="7"/>
  <c r="J14" i="7"/>
  <c r="I15" i="7"/>
  <c r="J15" i="7"/>
  <c r="I16" i="7"/>
  <c r="J16" i="7"/>
  <c r="I17" i="7"/>
  <c r="J17" i="7"/>
  <c r="I18" i="7"/>
  <c r="J18" i="7"/>
  <c r="I19" i="7"/>
  <c r="J19" i="7"/>
  <c r="I20" i="7"/>
  <c r="J20" i="7"/>
  <c r="I21" i="7"/>
  <c r="J21" i="7"/>
  <c r="I22" i="7"/>
  <c r="J22" i="7"/>
  <c r="I23" i="7"/>
  <c r="J23" i="7"/>
  <c r="I24" i="7"/>
  <c r="J24" i="7"/>
  <c r="I25" i="7"/>
  <c r="J25" i="7"/>
  <c r="I26" i="7"/>
  <c r="J26" i="7"/>
  <c r="I27" i="7"/>
  <c r="J27" i="7"/>
  <c r="I28" i="7"/>
  <c r="J28" i="7"/>
  <c r="I29" i="7"/>
  <c r="J29" i="7"/>
  <c r="I30" i="7"/>
  <c r="J30" i="7"/>
  <c r="I31" i="7"/>
  <c r="J31" i="7"/>
  <c r="I32" i="7"/>
  <c r="J32" i="7"/>
  <c r="I33" i="7"/>
  <c r="J33" i="7"/>
  <c r="I34" i="7"/>
  <c r="J34" i="7"/>
  <c r="I35" i="7"/>
  <c r="J35" i="7"/>
  <c r="I36" i="7"/>
  <c r="J36" i="7"/>
  <c r="I37" i="7"/>
  <c r="J37" i="7"/>
  <c r="I38" i="7"/>
  <c r="J38" i="7"/>
  <c r="I39" i="7"/>
  <c r="J39" i="7"/>
  <c r="I40" i="7"/>
  <c r="J40" i="7"/>
  <c r="I41" i="7"/>
  <c r="J41" i="7"/>
  <c r="I42" i="7"/>
  <c r="J42" i="7"/>
  <c r="I43" i="7"/>
  <c r="J43" i="7"/>
  <c r="I44" i="7"/>
  <c r="J44" i="7"/>
  <c r="I45" i="7"/>
  <c r="J45" i="7"/>
  <c r="I46" i="7"/>
  <c r="J46" i="7"/>
  <c r="I47" i="7"/>
  <c r="J47" i="7"/>
  <c r="I48" i="7"/>
  <c r="J48" i="7"/>
  <c r="I49" i="7"/>
  <c r="J49" i="7"/>
  <c r="I50" i="7"/>
  <c r="J50" i="7"/>
  <c r="I51" i="7"/>
  <c r="J51" i="7"/>
  <c r="I52" i="7"/>
  <c r="J52" i="7"/>
  <c r="I53" i="7"/>
  <c r="J53" i="7"/>
  <c r="I54" i="7"/>
  <c r="J54" i="7"/>
  <c r="I55" i="7"/>
  <c r="J55" i="7"/>
  <c r="I56" i="7"/>
  <c r="J56" i="7"/>
  <c r="I57" i="7"/>
  <c r="J57" i="7"/>
  <c r="I58" i="7"/>
  <c r="J58" i="7"/>
  <c r="I59" i="7"/>
  <c r="J59" i="7"/>
  <c r="I60" i="7"/>
  <c r="J60" i="7"/>
  <c r="I61" i="7"/>
  <c r="J61" i="7"/>
  <c r="I62" i="7"/>
  <c r="J62" i="7"/>
  <c r="I63" i="7"/>
  <c r="J63" i="7"/>
  <c r="I64" i="7"/>
  <c r="J64" i="7"/>
  <c r="I65" i="7"/>
  <c r="J65" i="7"/>
  <c r="I66" i="7"/>
  <c r="J66" i="7"/>
  <c r="I67" i="7"/>
  <c r="J67" i="7"/>
  <c r="I68" i="7"/>
  <c r="J68" i="7"/>
  <c r="I69" i="7"/>
  <c r="J69" i="7"/>
  <c r="I70" i="7"/>
  <c r="J70" i="7"/>
  <c r="I71" i="7"/>
  <c r="J71" i="7"/>
  <c r="I72" i="7"/>
  <c r="J72" i="7"/>
  <c r="I73" i="7"/>
  <c r="J73" i="7"/>
  <c r="I74" i="7"/>
  <c r="J74" i="7"/>
  <c r="I75" i="7"/>
  <c r="J75" i="7"/>
  <c r="I76" i="7"/>
  <c r="J76" i="7"/>
  <c r="I77" i="7"/>
  <c r="J77" i="7"/>
  <c r="I78" i="7"/>
  <c r="J78" i="7"/>
  <c r="I79" i="7"/>
  <c r="J79" i="7"/>
  <c r="I80" i="7"/>
  <c r="J80" i="7"/>
  <c r="I81" i="7"/>
  <c r="J81" i="7"/>
  <c r="I82" i="7"/>
  <c r="J82" i="7"/>
  <c r="I83" i="7"/>
  <c r="J83" i="7"/>
  <c r="I84" i="7"/>
  <c r="J84" i="7"/>
  <c r="I85" i="7"/>
  <c r="J85" i="7"/>
  <c r="I86" i="7"/>
  <c r="J86" i="7"/>
  <c r="I87" i="7"/>
  <c r="J87" i="7"/>
  <c r="I88" i="7"/>
  <c r="J88" i="7"/>
  <c r="I89" i="7"/>
  <c r="J89" i="7"/>
  <c r="I90" i="7"/>
  <c r="J90" i="7"/>
  <c r="I91" i="7"/>
  <c r="J91" i="7"/>
  <c r="I92" i="7"/>
  <c r="J92" i="7"/>
  <c r="I93" i="7"/>
  <c r="J93" i="7"/>
  <c r="I94" i="7"/>
  <c r="J94" i="7"/>
  <c r="I95" i="7"/>
  <c r="J95" i="7"/>
  <c r="I96" i="7"/>
  <c r="J96" i="7"/>
  <c r="I97" i="7"/>
  <c r="J97" i="7"/>
  <c r="I98" i="7"/>
  <c r="J98" i="7"/>
  <c r="I99" i="7"/>
  <c r="J99" i="7"/>
  <c r="I100" i="7"/>
  <c r="J100" i="7"/>
  <c r="I101" i="7"/>
  <c r="J101" i="7"/>
  <c r="I102" i="7"/>
  <c r="J102" i="7"/>
  <c r="I103" i="7"/>
  <c r="J103" i="7"/>
  <c r="I104" i="7"/>
  <c r="J104" i="7"/>
  <c r="J4" i="7"/>
  <c r="I4" i="7"/>
  <c r="F5" i="7"/>
  <c r="G5" i="7"/>
  <c r="H5" i="7"/>
  <c r="F6" i="7"/>
  <c r="G6" i="7"/>
  <c r="H6" i="7"/>
  <c r="F7" i="7"/>
  <c r="G7" i="7"/>
  <c r="H7" i="7"/>
  <c r="F8" i="7"/>
  <c r="G8" i="7"/>
  <c r="H8" i="7"/>
  <c r="F9" i="7"/>
  <c r="G9" i="7"/>
  <c r="H9" i="7"/>
  <c r="F10" i="7"/>
  <c r="G10" i="7"/>
  <c r="H10" i="7"/>
  <c r="F11" i="7"/>
  <c r="G11" i="7"/>
  <c r="H11" i="7"/>
  <c r="F12" i="7"/>
  <c r="G12" i="7"/>
  <c r="H12" i="7"/>
  <c r="F13" i="7"/>
  <c r="G13" i="7"/>
  <c r="H13" i="7"/>
  <c r="F14" i="7"/>
  <c r="G14" i="7"/>
  <c r="H14" i="7"/>
  <c r="G4" i="7"/>
  <c r="H4" i="7"/>
  <c r="F4" i="7"/>
  <c r="D89" i="7"/>
  <c r="E89" i="7"/>
  <c r="D90" i="7"/>
  <c r="E90" i="7"/>
  <c r="D91" i="7"/>
  <c r="E91" i="7"/>
  <c r="D92" i="7"/>
  <c r="E92" i="7"/>
  <c r="D93" i="7"/>
  <c r="E93" i="7"/>
  <c r="D94" i="7"/>
  <c r="E94" i="7"/>
  <c r="D95" i="7"/>
  <c r="E95" i="7"/>
  <c r="D96" i="7"/>
  <c r="E96" i="7"/>
  <c r="D97" i="7"/>
  <c r="E97" i="7"/>
  <c r="D98" i="7"/>
  <c r="E98" i="7"/>
  <c r="D99" i="7"/>
  <c r="E99" i="7"/>
  <c r="D100" i="7"/>
  <c r="E100" i="7"/>
  <c r="D101" i="7"/>
  <c r="E101" i="7"/>
  <c r="D102" i="7"/>
  <c r="E102" i="7"/>
  <c r="D103" i="7"/>
  <c r="E103" i="7"/>
  <c r="D104" i="7"/>
  <c r="E104" i="7"/>
  <c r="D77" i="7"/>
  <c r="E77" i="7"/>
  <c r="D78" i="7"/>
  <c r="E78" i="7"/>
  <c r="D79" i="7"/>
  <c r="E79" i="7"/>
  <c r="D80" i="7"/>
  <c r="E80" i="7"/>
  <c r="D81" i="7"/>
  <c r="E81" i="7"/>
  <c r="D82" i="7"/>
  <c r="E82" i="7"/>
  <c r="D83" i="7"/>
  <c r="E83" i="7"/>
  <c r="D84" i="7"/>
  <c r="E84" i="7"/>
  <c r="D85" i="7"/>
  <c r="E85" i="7"/>
  <c r="D86" i="7"/>
  <c r="E86" i="7"/>
  <c r="D87" i="7"/>
  <c r="E87" i="7"/>
  <c r="D88" i="7"/>
  <c r="E88" i="7"/>
  <c r="D57" i="7"/>
  <c r="E57" i="7"/>
  <c r="D58" i="7"/>
  <c r="E58" i="7"/>
  <c r="D59" i="7"/>
  <c r="E59" i="7"/>
  <c r="D60" i="7"/>
  <c r="E60" i="7"/>
  <c r="D61" i="7"/>
  <c r="E61" i="7"/>
  <c r="D62" i="7"/>
  <c r="E62" i="7"/>
  <c r="D63" i="7"/>
  <c r="E63" i="7"/>
  <c r="D64" i="7"/>
  <c r="E64" i="7"/>
  <c r="D65" i="7"/>
  <c r="E65" i="7"/>
  <c r="D66" i="7"/>
  <c r="E66" i="7"/>
  <c r="D67" i="7"/>
  <c r="E67" i="7"/>
  <c r="D68" i="7"/>
  <c r="E68" i="7"/>
  <c r="D69" i="7"/>
  <c r="E69" i="7"/>
  <c r="D70" i="7"/>
  <c r="E70" i="7"/>
  <c r="D71" i="7"/>
  <c r="E71" i="7"/>
  <c r="D72" i="7"/>
  <c r="E72" i="7"/>
  <c r="D73" i="7"/>
  <c r="E73" i="7"/>
  <c r="D74" i="7"/>
  <c r="E74" i="7"/>
  <c r="D75" i="7"/>
  <c r="E75" i="7"/>
  <c r="D76" i="7"/>
  <c r="E76" i="7"/>
  <c r="D37" i="7"/>
  <c r="E37" i="7"/>
  <c r="D38" i="7"/>
  <c r="E38" i="7"/>
  <c r="D39" i="7"/>
  <c r="E39" i="7"/>
  <c r="D40" i="7"/>
  <c r="E40" i="7"/>
  <c r="D41" i="7"/>
  <c r="E41" i="7"/>
  <c r="D42" i="7"/>
  <c r="E42" i="7"/>
  <c r="D43" i="7"/>
  <c r="E43" i="7"/>
  <c r="D44" i="7"/>
  <c r="E44" i="7"/>
  <c r="D45" i="7"/>
  <c r="E45" i="7"/>
  <c r="D46" i="7"/>
  <c r="E46" i="7"/>
  <c r="D47" i="7"/>
  <c r="E47" i="7"/>
  <c r="D48" i="7"/>
  <c r="E48" i="7"/>
  <c r="D49" i="7"/>
  <c r="E49" i="7"/>
  <c r="D50" i="7"/>
  <c r="E50" i="7"/>
  <c r="D51" i="7"/>
  <c r="E51" i="7"/>
  <c r="D52" i="7"/>
  <c r="E52" i="7"/>
  <c r="D53" i="7"/>
  <c r="E53" i="7"/>
  <c r="D54" i="7"/>
  <c r="E54" i="7"/>
  <c r="D55" i="7"/>
  <c r="E55" i="7"/>
  <c r="D56" i="7"/>
  <c r="E56" i="7"/>
  <c r="D5" i="7"/>
  <c r="E5" i="7"/>
  <c r="D6" i="7"/>
  <c r="E6" i="7"/>
  <c r="D7" i="7"/>
  <c r="E7" i="7"/>
  <c r="D8" i="7"/>
  <c r="E8" i="7"/>
  <c r="D9" i="7"/>
  <c r="E9" i="7"/>
  <c r="D10" i="7"/>
  <c r="E10" i="7"/>
  <c r="D11" i="7"/>
  <c r="E11" i="7"/>
  <c r="D12" i="7"/>
  <c r="E12" i="7"/>
  <c r="D13" i="7"/>
  <c r="E13" i="7"/>
  <c r="D14" i="7"/>
  <c r="E14" i="7"/>
  <c r="D15" i="7"/>
  <c r="E15" i="7"/>
  <c r="D16" i="7"/>
  <c r="E16" i="7"/>
  <c r="D17" i="7"/>
  <c r="E17" i="7"/>
  <c r="D18" i="7"/>
  <c r="E18" i="7"/>
  <c r="D19" i="7"/>
  <c r="E19" i="7"/>
  <c r="D20" i="7"/>
  <c r="E20" i="7"/>
  <c r="D21" i="7"/>
  <c r="E21" i="7"/>
  <c r="D22" i="7"/>
  <c r="E22" i="7"/>
  <c r="D23" i="7"/>
  <c r="E23" i="7"/>
  <c r="D24" i="7"/>
  <c r="E24" i="7"/>
  <c r="D25" i="7"/>
  <c r="E25" i="7"/>
  <c r="D26" i="7"/>
  <c r="E26" i="7"/>
  <c r="D27" i="7"/>
  <c r="E27" i="7"/>
  <c r="D28" i="7"/>
  <c r="E28" i="7"/>
  <c r="D29" i="7"/>
  <c r="E29" i="7"/>
  <c r="D30" i="7"/>
  <c r="E30" i="7"/>
  <c r="D31" i="7"/>
  <c r="E31" i="7"/>
  <c r="D32" i="7"/>
  <c r="E32" i="7"/>
  <c r="D33" i="7"/>
  <c r="E33" i="7"/>
  <c r="D34" i="7"/>
  <c r="E34" i="7"/>
  <c r="D35" i="7"/>
  <c r="E35" i="7"/>
  <c r="D36" i="7"/>
  <c r="E36" i="7"/>
  <c r="E4" i="7"/>
  <c r="D4" i="7"/>
  <c r="A5" i="7"/>
  <c r="B5" i="7"/>
  <c r="C5" i="7"/>
  <c r="A6" i="7"/>
  <c r="B6" i="7"/>
  <c r="C6" i="7"/>
  <c r="A7" i="7"/>
  <c r="B7" i="7"/>
  <c r="C7" i="7"/>
  <c r="A8" i="7"/>
  <c r="B8" i="7"/>
  <c r="C8" i="7"/>
  <c r="A9" i="7"/>
  <c r="B9" i="7"/>
  <c r="C9" i="7"/>
  <c r="A10" i="7"/>
  <c r="B10" i="7"/>
  <c r="C10" i="7"/>
  <c r="A11" i="7"/>
  <c r="B11" i="7"/>
  <c r="C11" i="7"/>
  <c r="A12" i="7"/>
  <c r="B12" i="7"/>
  <c r="C12" i="7"/>
  <c r="A13" i="7"/>
  <c r="B13" i="7"/>
  <c r="C13" i="7"/>
  <c r="A14" i="7"/>
  <c r="B14" i="7"/>
  <c r="C14" i="7"/>
  <c r="B4" i="7"/>
  <c r="C4" i="7"/>
  <c r="A4" i="7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4" i="6"/>
  <c r="P37" i="6"/>
  <c r="P38" i="6" s="1"/>
  <c r="P39" i="6" s="1"/>
  <c r="P40" i="6" s="1"/>
  <c r="P41" i="6" s="1"/>
  <c r="P42" i="6" s="1"/>
  <c r="P43" i="6" s="1"/>
  <c r="P44" i="6" s="1"/>
  <c r="P45" i="6" s="1"/>
  <c r="P46" i="6" s="1"/>
  <c r="P47" i="6" s="1"/>
  <c r="P48" i="6" s="1"/>
  <c r="P49" i="6" s="1"/>
  <c r="P50" i="6" s="1"/>
  <c r="P51" i="6" s="1"/>
  <c r="P52" i="6" s="1"/>
  <c r="P53" i="6" s="1"/>
  <c r="P54" i="6" s="1"/>
  <c r="P55" i="6" s="1"/>
  <c r="P56" i="6" s="1"/>
  <c r="P57" i="6" s="1"/>
  <c r="P58" i="6" s="1"/>
  <c r="P59" i="6" s="1"/>
  <c r="P60" i="6" s="1"/>
  <c r="P61" i="6" s="1"/>
  <c r="P62" i="6" s="1"/>
  <c r="P63" i="6" s="1"/>
  <c r="P64" i="6" s="1"/>
  <c r="P65" i="6" s="1"/>
  <c r="P66" i="6" s="1"/>
  <c r="P67" i="6" s="1"/>
  <c r="P68" i="6" s="1"/>
  <c r="P69" i="6" s="1"/>
  <c r="P70" i="6" s="1"/>
  <c r="P71" i="6" s="1"/>
  <c r="P72" i="6" s="1"/>
  <c r="P73" i="6" s="1"/>
  <c r="P74" i="6" s="1"/>
  <c r="P75" i="6" s="1"/>
  <c r="P76" i="6" s="1"/>
  <c r="P77" i="6" s="1"/>
  <c r="P78" i="6" s="1"/>
  <c r="P79" i="6" s="1"/>
  <c r="P80" i="6" s="1"/>
  <c r="P81" i="6" s="1"/>
  <c r="P82" i="6" s="1"/>
  <c r="P83" i="6" s="1"/>
  <c r="P84" i="6" s="1"/>
  <c r="P85" i="6" s="1"/>
  <c r="P86" i="6" s="1"/>
  <c r="P87" i="6" s="1"/>
  <c r="P88" i="6" s="1"/>
  <c r="P89" i="6" s="1"/>
  <c r="P90" i="6" s="1"/>
  <c r="P91" i="6" s="1"/>
  <c r="P92" i="6" s="1"/>
  <c r="P93" i="6" s="1"/>
  <c r="P94" i="6" s="1"/>
  <c r="P95" i="6" s="1"/>
  <c r="P96" i="6" s="1"/>
  <c r="P97" i="6" s="1"/>
  <c r="P98" i="6" s="1"/>
  <c r="P99" i="6" s="1"/>
  <c r="P100" i="6" s="1"/>
  <c r="P101" i="6" s="1"/>
  <c r="P102" i="6" s="1"/>
  <c r="P103" i="6" s="1"/>
  <c r="P104" i="6" s="1"/>
  <c r="P6" i="6"/>
  <c r="P7" i="6"/>
  <c r="P8" i="6" s="1"/>
  <c r="P9" i="6" s="1"/>
  <c r="P10" i="6" s="1"/>
  <c r="P11" i="6" s="1"/>
  <c r="P12" i="6" s="1"/>
  <c r="P13" i="6" s="1"/>
  <c r="P14" i="6" s="1"/>
  <c r="P15" i="6" s="1"/>
  <c r="P16" i="6" s="1"/>
  <c r="P17" i="6" s="1"/>
  <c r="P18" i="6" s="1"/>
  <c r="P19" i="6" s="1"/>
  <c r="P20" i="6" s="1"/>
  <c r="P21" i="6" s="1"/>
  <c r="P22" i="6" s="1"/>
  <c r="P23" i="6" s="1"/>
  <c r="P24" i="6" s="1"/>
  <c r="P25" i="6" s="1"/>
  <c r="P26" i="6" s="1"/>
  <c r="P27" i="6" s="1"/>
  <c r="P28" i="6" s="1"/>
  <c r="P29" i="6" s="1"/>
  <c r="P30" i="6" s="1"/>
  <c r="P31" i="6" s="1"/>
  <c r="P32" i="6" s="1"/>
  <c r="P33" i="6" s="1"/>
  <c r="P34" i="6" s="1"/>
  <c r="P35" i="6" s="1"/>
  <c r="P36" i="6" s="1"/>
  <c r="P5" i="6"/>
  <c r="N13" i="6"/>
  <c r="N12" i="6"/>
  <c r="N11" i="6"/>
  <c r="N10" i="6"/>
  <c r="N9" i="6"/>
  <c r="N8" i="6"/>
  <c r="N7" i="6"/>
  <c r="N6" i="6"/>
  <c r="N5" i="6"/>
  <c r="N4" i="6"/>
  <c r="M13" i="6"/>
  <c r="M12" i="6"/>
  <c r="M11" i="6"/>
  <c r="M10" i="6"/>
  <c r="M9" i="6"/>
  <c r="M8" i="6"/>
  <c r="M7" i="6"/>
  <c r="M6" i="6"/>
  <c r="M5" i="6"/>
  <c r="M4" i="6"/>
  <c r="I19" i="6"/>
  <c r="H19" i="6"/>
  <c r="G18" i="6"/>
  <c r="G19" i="6"/>
  <c r="G20" i="6"/>
  <c r="F18" i="6"/>
  <c r="F19" i="6"/>
  <c r="F20" i="6"/>
  <c r="E18" i="6"/>
  <c r="E19" i="6"/>
  <c r="E20" i="6"/>
  <c r="D20" i="6"/>
  <c r="D19" i="6"/>
  <c r="D18" i="6"/>
  <c r="F4" i="6"/>
  <c r="G4" i="6" s="1"/>
  <c r="F5" i="6"/>
  <c r="G5" i="6" s="1"/>
  <c r="F11" i="6"/>
  <c r="G11" i="6" s="1"/>
  <c r="F12" i="6"/>
  <c r="G12" i="6" s="1"/>
  <c r="F13" i="6"/>
  <c r="G13" i="6" s="1"/>
  <c r="F22" i="6"/>
  <c r="G22" i="6" s="1"/>
  <c r="F23" i="6"/>
  <c r="G23" i="6" s="1"/>
  <c r="F24" i="6"/>
  <c r="G24" i="6" s="1"/>
  <c r="F30" i="6"/>
  <c r="G30" i="6" s="1"/>
  <c r="F31" i="6"/>
  <c r="G31" i="6" s="1"/>
  <c r="F32" i="6"/>
  <c r="E32" i="6"/>
  <c r="E31" i="6"/>
  <c r="E30" i="6"/>
  <c r="E29" i="6"/>
  <c r="F29" i="6" s="1"/>
  <c r="G29" i="6" s="1"/>
  <c r="E28" i="6"/>
  <c r="F28" i="6" s="1"/>
  <c r="E27" i="6"/>
  <c r="F27" i="6" s="1"/>
  <c r="G27" i="6" s="1"/>
  <c r="E26" i="6"/>
  <c r="F26" i="6" s="1"/>
  <c r="G26" i="6" s="1"/>
  <c r="E25" i="6"/>
  <c r="F25" i="6" s="1"/>
  <c r="G25" i="6" s="1"/>
  <c r="E24" i="6"/>
  <c r="E23" i="6"/>
  <c r="E22" i="6"/>
  <c r="E21" i="6"/>
  <c r="F21" i="6" s="1"/>
  <c r="G21" i="6" s="1"/>
  <c r="E17" i="6"/>
  <c r="F17" i="6" s="1"/>
  <c r="G17" i="6" s="1"/>
  <c r="E16" i="6"/>
  <c r="F16" i="6" s="1"/>
  <c r="G16" i="6" s="1"/>
  <c r="E15" i="6"/>
  <c r="F15" i="6" s="1"/>
  <c r="G15" i="6" s="1"/>
  <c r="E14" i="6"/>
  <c r="F14" i="6" s="1"/>
  <c r="G14" i="6" s="1"/>
  <c r="E13" i="6"/>
  <c r="E12" i="6"/>
  <c r="E11" i="6"/>
  <c r="E10" i="6"/>
  <c r="F10" i="6" s="1"/>
  <c r="G10" i="6" s="1"/>
  <c r="E9" i="6"/>
  <c r="F9" i="6" s="1"/>
  <c r="G9" i="6" s="1"/>
  <c r="E8" i="6"/>
  <c r="F8" i="6" s="1"/>
  <c r="G8" i="6" s="1"/>
  <c r="E7" i="6"/>
  <c r="F7" i="6" s="1"/>
  <c r="G7" i="6" s="1"/>
  <c r="E6" i="6"/>
  <c r="F6" i="6" s="1"/>
  <c r="G6" i="6" s="1"/>
  <c r="E5" i="6"/>
  <c r="E4" i="6"/>
  <c r="E3" i="6"/>
  <c r="F3" i="6" s="1"/>
  <c r="G3" i="6" s="1"/>
  <c r="B21" i="5"/>
  <c r="G20" i="5"/>
  <c r="B17" i="5"/>
  <c r="B16" i="5"/>
  <c r="B10" i="5"/>
  <c r="C10" i="5" s="1"/>
  <c r="D10" i="5" s="1"/>
  <c r="B32" i="5" s="1"/>
  <c r="P3" i="3"/>
  <c r="O5" i="3"/>
  <c r="O6" i="3" s="1"/>
  <c r="O7" i="3" s="1"/>
  <c r="O8" i="3" s="1"/>
  <c r="O9" i="3" s="1"/>
  <c r="O10" i="3" s="1"/>
  <c r="O11" i="3" s="1"/>
  <c r="O12" i="3" s="1"/>
  <c r="O13" i="3" s="1"/>
  <c r="O14" i="3" s="1"/>
  <c r="O15" i="3" s="1"/>
  <c r="O16" i="3" s="1"/>
  <c r="O17" i="3" s="1"/>
  <c r="O18" i="3" s="1"/>
  <c r="O19" i="3" s="1"/>
  <c r="O20" i="3" s="1"/>
  <c r="O21" i="3" s="1"/>
  <c r="O22" i="3" s="1"/>
  <c r="O23" i="3" s="1"/>
  <c r="O24" i="3" s="1"/>
  <c r="O25" i="3" s="1"/>
  <c r="O26" i="3" s="1"/>
  <c r="O27" i="3" s="1"/>
  <c r="O28" i="3" s="1"/>
  <c r="O29" i="3" s="1"/>
  <c r="O30" i="3" s="1"/>
  <c r="O31" i="3" s="1"/>
  <c r="O32" i="3" s="1"/>
  <c r="O33" i="3" s="1"/>
  <c r="O34" i="3" s="1"/>
  <c r="O35" i="3" s="1"/>
  <c r="O36" i="3" s="1"/>
  <c r="O37" i="3" s="1"/>
  <c r="O38" i="3" s="1"/>
  <c r="O39" i="3" s="1"/>
  <c r="O40" i="3" s="1"/>
  <c r="O41" i="3" s="1"/>
  <c r="O42" i="3" s="1"/>
  <c r="O43" i="3" s="1"/>
  <c r="O44" i="3" s="1"/>
  <c r="O45" i="3" s="1"/>
  <c r="O46" i="3" s="1"/>
  <c r="O47" i="3" s="1"/>
  <c r="O48" i="3" s="1"/>
  <c r="O49" i="3" s="1"/>
  <c r="O50" i="3" s="1"/>
  <c r="O51" i="3" s="1"/>
  <c r="O52" i="3" s="1"/>
  <c r="O53" i="3" s="1"/>
  <c r="O54" i="3" s="1"/>
  <c r="O55" i="3" s="1"/>
  <c r="O56" i="3" s="1"/>
  <c r="O57" i="3" s="1"/>
  <c r="O58" i="3" s="1"/>
  <c r="O59" i="3" s="1"/>
  <c r="O60" i="3" s="1"/>
  <c r="O61" i="3" s="1"/>
  <c r="O62" i="3" s="1"/>
  <c r="O63" i="3" s="1"/>
  <c r="O64" i="3" s="1"/>
  <c r="O65" i="3" s="1"/>
  <c r="O66" i="3" s="1"/>
  <c r="O67" i="3" s="1"/>
  <c r="O68" i="3" s="1"/>
  <c r="O69" i="3" s="1"/>
  <c r="O70" i="3" s="1"/>
  <c r="O71" i="3" s="1"/>
  <c r="O72" i="3" s="1"/>
  <c r="O73" i="3" s="1"/>
  <c r="O4" i="3"/>
  <c r="P4" i="3" s="1"/>
  <c r="F28" i="3"/>
  <c r="F4" i="3"/>
  <c r="E7" i="3"/>
  <c r="F7" i="3" s="1"/>
  <c r="E11" i="3"/>
  <c r="F11" i="3" s="1"/>
  <c r="E12" i="3"/>
  <c r="F12" i="3" s="1"/>
  <c r="E15" i="3"/>
  <c r="F15" i="3" s="1"/>
  <c r="E19" i="3"/>
  <c r="F19" i="3" s="1"/>
  <c r="E20" i="3"/>
  <c r="F20" i="3" s="1"/>
  <c r="E23" i="3"/>
  <c r="F23" i="3" s="1"/>
  <c r="E27" i="3"/>
  <c r="F27" i="3" s="1"/>
  <c r="E28" i="3"/>
  <c r="E31" i="3"/>
  <c r="F31" i="3" s="1"/>
  <c r="E4" i="3"/>
  <c r="H34" i="3"/>
  <c r="G34" i="3"/>
  <c r="F34" i="3"/>
  <c r="E34" i="3"/>
  <c r="D34" i="3"/>
  <c r="C34" i="3"/>
  <c r="D33" i="3"/>
  <c r="E33" i="3" s="1"/>
  <c r="F33" i="3" s="1"/>
  <c r="D32" i="3"/>
  <c r="E32" i="3" s="1"/>
  <c r="F32" i="3" s="1"/>
  <c r="D31" i="3"/>
  <c r="D30" i="3"/>
  <c r="E30" i="3" s="1"/>
  <c r="F30" i="3" s="1"/>
  <c r="D29" i="3"/>
  <c r="E29" i="3" s="1"/>
  <c r="D28" i="3"/>
  <c r="D27" i="3"/>
  <c r="D26" i="3"/>
  <c r="E26" i="3" s="1"/>
  <c r="F26" i="3" s="1"/>
  <c r="D25" i="3"/>
  <c r="E25" i="3" s="1"/>
  <c r="F25" i="3" s="1"/>
  <c r="G25" i="3" s="1"/>
  <c r="L11" i="3" s="1"/>
  <c r="D24" i="3"/>
  <c r="E24" i="3" s="1"/>
  <c r="D23" i="3"/>
  <c r="D22" i="3"/>
  <c r="B4" i="5" s="1"/>
  <c r="D21" i="3"/>
  <c r="H35" i="3" s="1"/>
  <c r="D20" i="3"/>
  <c r="D19" i="3"/>
  <c r="D18" i="3"/>
  <c r="E18" i="3" s="1"/>
  <c r="F18" i="3" s="1"/>
  <c r="D17" i="3"/>
  <c r="E17" i="3" s="1"/>
  <c r="F17" i="3" s="1"/>
  <c r="D16" i="3"/>
  <c r="E16" i="3" s="1"/>
  <c r="F16" i="3" s="1"/>
  <c r="D15" i="3"/>
  <c r="D14" i="3"/>
  <c r="E14" i="3" s="1"/>
  <c r="F14" i="3" s="1"/>
  <c r="D13" i="3"/>
  <c r="F35" i="3" s="1"/>
  <c r="D12" i="3"/>
  <c r="D11" i="3"/>
  <c r="D10" i="3"/>
  <c r="E35" i="3" s="1"/>
  <c r="D9" i="3"/>
  <c r="E9" i="3" s="1"/>
  <c r="F9" i="3" s="1"/>
  <c r="D8" i="3"/>
  <c r="E8" i="3" s="1"/>
  <c r="F8" i="3" s="1"/>
  <c r="D7" i="3"/>
  <c r="D6" i="3"/>
  <c r="E6" i="3" s="1"/>
  <c r="F6" i="3" s="1"/>
  <c r="D5" i="3"/>
  <c r="E5" i="3" s="1"/>
  <c r="F5" i="3" s="1"/>
  <c r="D4" i="3"/>
  <c r="B21" i="2"/>
  <c r="B17" i="2"/>
  <c r="B16" i="2"/>
  <c r="H4" i="6" l="1"/>
  <c r="I7" i="6"/>
  <c r="H7" i="6"/>
  <c r="H16" i="6"/>
  <c r="I16" i="6"/>
  <c r="H31" i="6"/>
  <c r="I31" i="6"/>
  <c r="I10" i="6"/>
  <c r="H10" i="6"/>
  <c r="H28" i="6"/>
  <c r="I28" i="6"/>
  <c r="H13" i="6"/>
  <c r="I13" i="6"/>
  <c r="I25" i="6"/>
  <c r="H25" i="6"/>
  <c r="I4" i="6"/>
  <c r="I22" i="6"/>
  <c r="H22" i="6"/>
  <c r="B8" i="5"/>
  <c r="B18" i="5"/>
  <c r="B20" i="5" s="1"/>
  <c r="O74" i="3"/>
  <c r="P73" i="3"/>
  <c r="P66" i="3"/>
  <c r="P58" i="3"/>
  <c r="P50" i="3"/>
  <c r="P42" i="3"/>
  <c r="P34" i="3"/>
  <c r="P26" i="3"/>
  <c r="P18" i="3"/>
  <c r="P10" i="3"/>
  <c r="P57" i="3"/>
  <c r="P41" i="3"/>
  <c r="P9" i="3"/>
  <c r="P32" i="3"/>
  <c r="E22" i="3"/>
  <c r="F22" i="3" s="1"/>
  <c r="P33" i="3"/>
  <c r="E21" i="3"/>
  <c r="P72" i="3"/>
  <c r="P56" i="3"/>
  <c r="P16" i="3"/>
  <c r="G35" i="3"/>
  <c r="P31" i="3"/>
  <c r="P70" i="3"/>
  <c r="P62" i="3"/>
  <c r="P54" i="3"/>
  <c r="P46" i="3"/>
  <c r="P38" i="3"/>
  <c r="P30" i="3"/>
  <c r="P22" i="3"/>
  <c r="P14" i="3"/>
  <c r="P6" i="3"/>
  <c r="P25" i="3"/>
  <c r="P64" i="3"/>
  <c r="P48" i="3"/>
  <c r="P8" i="3"/>
  <c r="P63" i="3"/>
  <c r="P39" i="3"/>
  <c r="P7" i="3"/>
  <c r="P61" i="3"/>
  <c r="P53" i="3"/>
  <c r="P37" i="3"/>
  <c r="P29" i="3"/>
  <c r="P21" i="3"/>
  <c r="P13" i="3"/>
  <c r="P5" i="3"/>
  <c r="P65" i="3"/>
  <c r="P17" i="3"/>
  <c r="P24" i="3"/>
  <c r="P55" i="3"/>
  <c r="E10" i="3"/>
  <c r="F10" i="3" s="1"/>
  <c r="H11" i="3" s="1"/>
  <c r="M6" i="3" s="1"/>
  <c r="P69" i="3"/>
  <c r="P68" i="3"/>
  <c r="P60" i="3"/>
  <c r="P52" i="3"/>
  <c r="P44" i="3"/>
  <c r="P36" i="3"/>
  <c r="P28" i="3"/>
  <c r="P20" i="3"/>
  <c r="P12" i="3"/>
  <c r="P49" i="3"/>
  <c r="E13" i="3"/>
  <c r="F13" i="3" s="1"/>
  <c r="P40" i="3"/>
  <c r="P71" i="3"/>
  <c r="P47" i="3"/>
  <c r="P23" i="3"/>
  <c r="P15" i="3"/>
  <c r="P45" i="3"/>
  <c r="C35" i="3"/>
  <c r="P67" i="3"/>
  <c r="P59" i="3"/>
  <c r="P51" i="3"/>
  <c r="P43" i="3"/>
  <c r="P35" i="3"/>
  <c r="P27" i="3"/>
  <c r="P19" i="3"/>
  <c r="P11" i="3"/>
  <c r="B23" i="5"/>
  <c r="B24" i="5" s="1"/>
  <c r="B25" i="5" s="1"/>
  <c r="B33" i="5" s="1"/>
  <c r="B34" i="5" s="1"/>
  <c r="B11" i="5"/>
  <c r="B12" i="5" s="1"/>
  <c r="C8" i="5"/>
  <c r="D8" i="5" s="1"/>
  <c r="G8" i="5"/>
  <c r="H8" i="5" s="1"/>
  <c r="I8" i="5" s="1"/>
  <c r="B6" i="5"/>
  <c r="H25" i="3"/>
  <c r="M11" i="3" s="1"/>
  <c r="H29" i="3"/>
  <c r="M12" i="3" s="1"/>
  <c r="G29" i="3"/>
  <c r="L12" i="3" s="1"/>
  <c r="H32" i="3"/>
  <c r="M13" i="3" s="1"/>
  <c r="G32" i="3"/>
  <c r="L13" i="3" s="1"/>
  <c r="H17" i="3"/>
  <c r="M8" i="3" s="1"/>
  <c r="G17" i="3"/>
  <c r="L8" i="3" s="1"/>
  <c r="H8" i="3"/>
  <c r="M5" i="3" s="1"/>
  <c r="G8" i="3"/>
  <c r="L5" i="3" s="1"/>
  <c r="H23" i="3"/>
  <c r="M10" i="3" s="1"/>
  <c r="G23" i="3"/>
  <c r="L10" i="3" s="1"/>
  <c r="H20" i="3"/>
  <c r="M9" i="3" s="1"/>
  <c r="G20" i="3"/>
  <c r="L9" i="3" s="1"/>
  <c r="G11" i="3"/>
  <c r="L6" i="3" s="1"/>
  <c r="D35" i="3"/>
  <c r="G20" i="2"/>
  <c r="C10" i="2"/>
  <c r="D10" i="2" s="1"/>
  <c r="B32" i="2" s="1"/>
  <c r="B10" i="2"/>
  <c r="Q4" i="1"/>
  <c r="Q5" i="1"/>
  <c r="Q6" i="1"/>
  <c r="Q7" i="1"/>
  <c r="Q11" i="1"/>
  <c r="Q12" i="1"/>
  <c r="Q13" i="1"/>
  <c r="Q14" i="1"/>
  <c r="Q15" i="1"/>
  <c r="Q19" i="1"/>
  <c r="Q20" i="1"/>
  <c r="Q21" i="1"/>
  <c r="Q22" i="1"/>
  <c r="Q23" i="1"/>
  <c r="Q27" i="1"/>
  <c r="Q28" i="1"/>
  <c r="Q29" i="1"/>
  <c r="Q30" i="1"/>
  <c r="Q31" i="1"/>
  <c r="Q35" i="1"/>
  <c r="Q36" i="1"/>
  <c r="Q37" i="1"/>
  <c r="Q38" i="1"/>
  <c r="Q39" i="1"/>
  <c r="Q44" i="1"/>
  <c r="Q45" i="1"/>
  <c r="Q46" i="1"/>
  <c r="Q47" i="1"/>
  <c r="Q52" i="1"/>
  <c r="Q53" i="1"/>
  <c r="Q54" i="1"/>
  <c r="Q55" i="1"/>
  <c r="Q60" i="1"/>
  <c r="Q61" i="1"/>
  <c r="Q62" i="1"/>
  <c r="Q63" i="1"/>
  <c r="Q68" i="1"/>
  <c r="Q69" i="1"/>
  <c r="Q70" i="1"/>
  <c r="Q71" i="1"/>
  <c r="Q76" i="1"/>
  <c r="Q77" i="1"/>
  <c r="Q78" i="1"/>
  <c r="Q79" i="1"/>
  <c r="Q84" i="1"/>
  <c r="Q85" i="1"/>
  <c r="Q86" i="1"/>
  <c r="Q87" i="1"/>
  <c r="Q93" i="1"/>
  <c r="Q94" i="1"/>
  <c r="Q95" i="1"/>
  <c r="Q101" i="1"/>
  <c r="Q102" i="1"/>
  <c r="Q103" i="1"/>
  <c r="Q3" i="1"/>
  <c r="P5" i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4" i="1"/>
  <c r="E18" i="1"/>
  <c r="E19" i="1"/>
  <c r="E26" i="1"/>
  <c r="E27" i="1"/>
  <c r="E28" i="1"/>
  <c r="D4" i="1"/>
  <c r="E4" i="1" s="1"/>
  <c r="D5" i="1"/>
  <c r="E5" i="1" s="1"/>
  <c r="D6" i="1"/>
  <c r="E6" i="1" s="1"/>
  <c r="D11" i="1"/>
  <c r="E11" i="1" s="1"/>
  <c r="D12" i="1"/>
  <c r="E12" i="1" s="1"/>
  <c r="D13" i="1"/>
  <c r="E13" i="1" s="1"/>
  <c r="D14" i="1"/>
  <c r="E14" i="1" s="1"/>
  <c r="D18" i="1"/>
  <c r="D19" i="1"/>
  <c r="D20" i="1"/>
  <c r="D22" i="1"/>
  <c r="E22" i="1" s="1"/>
  <c r="D26" i="1"/>
  <c r="D27" i="1"/>
  <c r="D28" i="1"/>
  <c r="D30" i="1"/>
  <c r="E30" i="1" s="1"/>
  <c r="C3" i="1"/>
  <c r="D3" i="1" s="1"/>
  <c r="E3" i="1" s="1"/>
  <c r="C32" i="1"/>
  <c r="D32" i="1" s="1"/>
  <c r="E32" i="1" s="1"/>
  <c r="C31" i="1"/>
  <c r="D31" i="1" s="1"/>
  <c r="E31" i="1" s="1"/>
  <c r="C30" i="1"/>
  <c r="C29" i="1"/>
  <c r="D29" i="1" s="1"/>
  <c r="E29" i="1" s="1"/>
  <c r="C28" i="1"/>
  <c r="C27" i="1"/>
  <c r="C26" i="1"/>
  <c r="C25" i="1"/>
  <c r="D25" i="1" s="1"/>
  <c r="E25" i="1" s="1"/>
  <c r="C24" i="1"/>
  <c r="D24" i="1" s="1"/>
  <c r="E24" i="1" s="1"/>
  <c r="C23" i="1"/>
  <c r="D23" i="1" s="1"/>
  <c r="E23" i="1" s="1"/>
  <c r="C22" i="1"/>
  <c r="C21" i="1"/>
  <c r="D21" i="1" s="1"/>
  <c r="E21" i="1" s="1"/>
  <c r="C20" i="1"/>
  <c r="C19" i="1"/>
  <c r="C18" i="1"/>
  <c r="C17" i="1"/>
  <c r="D17" i="1" s="1"/>
  <c r="E17" i="1" s="1"/>
  <c r="C16" i="1"/>
  <c r="D16" i="1" s="1"/>
  <c r="C15" i="1"/>
  <c r="D15" i="1" s="1"/>
  <c r="E15" i="1" s="1"/>
  <c r="C14" i="1"/>
  <c r="C13" i="1"/>
  <c r="C12" i="1"/>
  <c r="C11" i="1"/>
  <c r="C10" i="1"/>
  <c r="D10" i="1" s="1"/>
  <c r="E10" i="1" s="1"/>
  <c r="C9" i="1"/>
  <c r="D9" i="1" s="1"/>
  <c r="E9" i="1" s="1"/>
  <c r="C8" i="1"/>
  <c r="D8" i="1" s="1"/>
  <c r="E8" i="1" s="1"/>
  <c r="C7" i="1"/>
  <c r="D7" i="1" s="1"/>
  <c r="E7" i="1" s="1"/>
  <c r="C6" i="1"/>
  <c r="C5" i="1"/>
  <c r="C4" i="1"/>
  <c r="G13" i="1" l="1"/>
  <c r="N10" i="1" s="1"/>
  <c r="F13" i="1"/>
  <c r="M10" i="1" s="1"/>
  <c r="F16" i="1"/>
  <c r="M9" i="1" s="1"/>
  <c r="G16" i="1"/>
  <c r="N9" i="1" s="1"/>
  <c r="B27" i="5"/>
  <c r="B28" i="5" s="1"/>
  <c r="B26" i="5"/>
  <c r="C36" i="3"/>
  <c r="Q100" i="1"/>
  <c r="Q99" i="1"/>
  <c r="Q91" i="1"/>
  <c r="Q75" i="1"/>
  <c r="Q67" i="1"/>
  <c r="Q59" i="1"/>
  <c r="Q51" i="1"/>
  <c r="Q92" i="1"/>
  <c r="Q83" i="1"/>
  <c r="Q43" i="1"/>
  <c r="B4" i="2"/>
  <c r="Q98" i="1"/>
  <c r="Q90" i="1"/>
  <c r="Q82" i="1"/>
  <c r="Q74" i="1"/>
  <c r="Q66" i="1"/>
  <c r="Q58" i="1"/>
  <c r="Q50" i="1"/>
  <c r="Q42" i="1"/>
  <c r="Q34" i="1"/>
  <c r="Q26" i="1"/>
  <c r="Q18" i="1"/>
  <c r="Q10" i="1"/>
  <c r="O75" i="3"/>
  <c r="P74" i="3"/>
  <c r="Q97" i="1"/>
  <c r="Q89" i="1"/>
  <c r="Q81" i="1"/>
  <c r="Q73" i="1"/>
  <c r="Q65" i="1"/>
  <c r="Q57" i="1"/>
  <c r="Q49" i="1"/>
  <c r="Q41" i="1"/>
  <c r="Q33" i="1"/>
  <c r="Q25" i="1"/>
  <c r="Q17" i="1"/>
  <c r="Q9" i="1"/>
  <c r="Q96" i="1"/>
  <c r="Q88" i="1"/>
  <c r="Q80" i="1"/>
  <c r="Q72" i="1"/>
  <c r="Q64" i="1"/>
  <c r="Q56" i="1"/>
  <c r="Q48" i="1"/>
  <c r="Q40" i="1"/>
  <c r="Q32" i="1"/>
  <c r="Q24" i="1"/>
  <c r="Q16" i="1"/>
  <c r="Q8" i="1"/>
  <c r="H5" i="3"/>
  <c r="M4" i="3" s="1"/>
  <c r="G5" i="3"/>
  <c r="L4" i="3" s="1"/>
  <c r="G14" i="3"/>
  <c r="L7" i="3" s="1"/>
  <c r="H14" i="3"/>
  <c r="M7" i="3" s="1"/>
  <c r="C37" i="3"/>
  <c r="F19" i="1"/>
  <c r="M8" i="1" s="1"/>
  <c r="G7" i="1"/>
  <c r="N12" i="1" s="1"/>
  <c r="F7" i="1"/>
  <c r="M12" i="1" s="1"/>
  <c r="F22" i="1"/>
  <c r="M7" i="1" s="1"/>
  <c r="G22" i="1"/>
  <c r="N7" i="1" s="1"/>
  <c r="G28" i="1"/>
  <c r="N5" i="1" s="1"/>
  <c r="F28" i="1"/>
  <c r="M5" i="1" s="1"/>
  <c r="G10" i="1"/>
  <c r="N11" i="1" s="1"/>
  <c r="F10" i="1"/>
  <c r="M11" i="1" s="1"/>
  <c r="F31" i="1"/>
  <c r="M4" i="1" s="1"/>
  <c r="G31" i="1"/>
  <c r="N4" i="1" s="1"/>
  <c r="G4" i="1"/>
  <c r="N13" i="1" s="1"/>
  <c r="F4" i="1"/>
  <c r="M13" i="1" s="1"/>
  <c r="G25" i="1"/>
  <c r="N6" i="1" s="1"/>
  <c r="F25" i="1"/>
  <c r="M6" i="1" s="1"/>
  <c r="O76" i="3" l="1"/>
  <c r="P75" i="3"/>
  <c r="B8" i="2"/>
  <c r="B6" i="2"/>
  <c r="B18" i="2"/>
  <c r="C39" i="3"/>
  <c r="F38" i="3" s="1"/>
  <c r="C38" i="3"/>
  <c r="F39" i="3" s="1"/>
  <c r="G19" i="1"/>
  <c r="N8" i="1" s="1"/>
  <c r="B23" i="2" l="1"/>
  <c r="B24" i="2" s="1"/>
  <c r="B25" i="2" s="1"/>
  <c r="B20" i="2"/>
  <c r="B11" i="2"/>
  <c r="B12" i="2" s="1"/>
  <c r="G8" i="2"/>
  <c r="H8" i="2" s="1"/>
  <c r="I8" i="2" s="1"/>
  <c r="C8" i="2"/>
  <c r="D8" i="2" s="1"/>
  <c r="O77" i="3"/>
  <c r="P76" i="3"/>
  <c r="O78" i="3" l="1"/>
  <c r="P77" i="3"/>
  <c r="B26" i="2"/>
  <c r="B27" i="2"/>
  <c r="B28" i="2" s="1"/>
  <c r="B33" i="2"/>
  <c r="B34" i="2" s="1"/>
  <c r="O79" i="3" l="1"/>
  <c r="P78" i="3"/>
  <c r="O80" i="3" l="1"/>
  <c r="P79" i="3"/>
  <c r="O81" i="3" l="1"/>
  <c r="P80" i="3"/>
  <c r="O82" i="3" l="1"/>
  <c r="P81" i="3"/>
  <c r="O83" i="3" l="1"/>
  <c r="P82" i="3"/>
  <c r="O84" i="3" l="1"/>
  <c r="P83" i="3"/>
  <c r="O85" i="3" l="1"/>
  <c r="P84" i="3"/>
  <c r="O86" i="3" l="1"/>
  <c r="P85" i="3"/>
  <c r="O87" i="3" l="1"/>
  <c r="P86" i="3"/>
  <c r="O88" i="3" l="1"/>
  <c r="P87" i="3"/>
  <c r="O89" i="3" l="1"/>
  <c r="P88" i="3"/>
  <c r="O90" i="3" l="1"/>
  <c r="P89" i="3"/>
  <c r="O91" i="3" l="1"/>
  <c r="P90" i="3"/>
  <c r="O92" i="3" l="1"/>
  <c r="P91" i="3"/>
  <c r="O93" i="3" l="1"/>
  <c r="P92" i="3"/>
  <c r="O94" i="3" l="1"/>
  <c r="P93" i="3"/>
  <c r="O95" i="3" l="1"/>
  <c r="P94" i="3"/>
  <c r="O96" i="3" l="1"/>
  <c r="P95" i="3"/>
  <c r="O97" i="3" l="1"/>
  <c r="P96" i="3"/>
  <c r="O98" i="3" l="1"/>
  <c r="P97" i="3"/>
  <c r="O99" i="3" l="1"/>
  <c r="P98" i="3"/>
  <c r="O100" i="3" l="1"/>
  <c r="P99" i="3"/>
  <c r="O101" i="3" l="1"/>
  <c r="P100" i="3"/>
  <c r="O102" i="3" l="1"/>
  <c r="P101" i="3"/>
  <c r="O103" i="3" l="1"/>
  <c r="P103" i="3" s="1"/>
  <c r="P102" i="3"/>
</calcChain>
</file>

<file path=xl/sharedStrings.xml><?xml version="1.0" encoding="utf-8"?>
<sst xmlns="http://schemas.openxmlformats.org/spreadsheetml/2006/main" count="136" uniqueCount="64">
  <si>
    <t>m Protein [mg]</t>
  </si>
  <si>
    <t>d in cm</t>
  </si>
  <si>
    <t>epsilon mmol/l</t>
  </si>
  <si>
    <t>Vmax</t>
  </si>
  <si>
    <t>Km</t>
  </si>
  <si>
    <t>± 0.2152</t>
  </si>
  <si>
    <t>± 0.511</t>
  </si>
  <si>
    <t>molecular weight [g/mol]</t>
  </si>
  <si>
    <t>wavelength</t>
  </si>
  <si>
    <t>raw activity/min</t>
  </si>
  <si>
    <t>protein amount [mg]</t>
  </si>
  <si>
    <t>activity OD min mg enzyme]</t>
  </si>
  <si>
    <t>millimolar extinction coefficient [mmol cm-1]</t>
  </si>
  <si>
    <t>nmol</t>
  </si>
  <si>
    <t>activity [mM/min]</t>
  </si>
  <si>
    <t>molecular weigth enzyme [Da / g per mol]</t>
  </si>
  <si>
    <t>protein amount [mmol]</t>
  </si>
  <si>
    <t>kcat (app) [s-1]</t>
  </si>
  <si>
    <t>kcat (app) [min-1]</t>
  </si>
  <si>
    <t>millimolar extinction coefficient [mmol l-1 cm-1]</t>
  </si>
  <si>
    <t>volume</t>
  </si>
  <si>
    <t>activity [µM/min]</t>
  </si>
  <si>
    <t>activity [µmol/min]</t>
  </si>
  <si>
    <t>activity [nmol/min]</t>
  </si>
  <si>
    <t>activity [nmol/min mg enzyme]</t>
  </si>
  <si>
    <t>activity [nmol/s]</t>
  </si>
  <si>
    <t>kcat (s-1)</t>
  </si>
  <si>
    <t>protein nmol</t>
  </si>
  <si>
    <t>nmol product min-1 nmol-1 enzyme</t>
  </si>
  <si>
    <t>1/[S]</t>
  </si>
  <si>
    <t>1/V</t>
  </si>
  <si>
    <t>Steigung</t>
  </si>
  <si>
    <t>Y-Achsenabschnitt</t>
  </si>
  <si>
    <t>1/vmax</t>
  </si>
  <si>
    <t>1/Km</t>
  </si>
  <si>
    <t>± 0.999</t>
  </si>
  <si>
    <t>± 0.3228</t>
  </si>
  <si>
    <t>Protein in mg</t>
  </si>
  <si>
    <t>nach reconstitution:</t>
  </si>
  <si>
    <t>2. versuch:</t>
  </si>
  <si>
    <t>d</t>
  </si>
  <si>
    <t>extinktionscoefficient</t>
  </si>
  <si>
    <t>± 0.636</t>
  </si>
  <si>
    <t>± 0.2281</t>
  </si>
  <si>
    <t>H2O2</t>
  </si>
  <si>
    <t>activity</t>
  </si>
  <si>
    <t>Stabwn</t>
  </si>
  <si>
    <t>kinetic</t>
  </si>
  <si>
    <t>before reconst</t>
  </si>
  <si>
    <t>after reconst</t>
  </si>
  <si>
    <t>kcat/Km</t>
  </si>
  <si>
    <t>C H202 [mM]</t>
  </si>
  <si>
    <t>slope (abs/s)</t>
  </si>
  <si>
    <t>sloep (abs/min)</t>
  </si>
  <si>
    <t>slope (abs/min*mg)</t>
  </si>
  <si>
    <t>specific enzyme activity (mmol/min*mg*L)</t>
  </si>
  <si>
    <t xml:space="preserve">mean specific activity  </t>
  </si>
  <si>
    <t>STABWN</t>
  </si>
  <si>
    <t>Equation:((V*x)/(k+x))</t>
  </si>
  <si>
    <t>slope (abs/min)</t>
  </si>
  <si>
    <t>mean specific enzyme activity</t>
  </si>
  <si>
    <t>stabwn</t>
  </si>
  <si>
    <t>equation:((V*x)/(k+x))</t>
  </si>
  <si>
    <t>H2O2 [mM]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</si>
</sst>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00"/>
  </numFmts>
  <fonts count="5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5" xfId="0" applyBorder="1"/>
    <xf numFmtId="0" fontId="2" fillId="0" borderId="2" xfId="0" applyFont="1" applyBorder="1"/>
    <xf numFmtId="0" fontId="2" fillId="0" borderId="0" xfId="0" applyFont="1"/>
    <xf numFmtId="0" fontId="0" fillId="0" borderId="4" xfId="0" applyBorder="1"/>
    <xf numFmtId="0" fontId="2" fillId="0" borderId="5" xfId="0" applyFont="1" applyBorder="1"/>
    <xf numFmtId="0" fontId="2" fillId="0" borderId="3" xfId="0" applyFont="1" applyBorder="1"/>
    <xf numFmtId="0" fontId="3" fillId="0" borderId="0" xfId="1"/>
    <xf numFmtId="0" fontId="3" fillId="2" borderId="6" xfId="1" applyFill="1" applyBorder="1"/>
    <xf numFmtId="0" fontId="3" fillId="2" borderId="0" xfId="1" applyFill="1"/>
    <xf numFmtId="0" fontId="1" fillId="0" borderId="0" xfId="0" applyFont="1"/>
    <xf numFmtId="169" fontId="0" fillId="0" borderId="0" xfId="0" applyNumberFormat="1"/>
    <xf numFmtId="2" fontId="0" fillId="0" borderId="0" xfId="0" applyNumberFormat="1"/>
    <xf numFmtId="0" fontId="0" fillId="0" borderId="0" xfId="0" applyFill="1" applyBorder="1"/>
    <xf numFmtId="2" fontId="1" fillId="0" borderId="0" xfId="0" applyNumberFormat="1" applyFont="1"/>
    <xf numFmtId="0" fontId="4" fillId="0" borderId="0" xfId="0" applyFont="1" applyAlignment="1">
      <alignment horizontal="center"/>
    </xf>
  </cellXfs>
  <cellStyles count="2">
    <cellStyle name="Standard" xfId="0" builtinId="0"/>
    <cellStyle name="Standard 2" xfId="1" xr:uid="{3F11ABEF-A04F-0F4E-B927-CE6935FAAF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'Guaia before reconst'!$N$3:$N$13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1.1752091257701568E-2</c:v>
                  </c:pt>
                  <c:pt idx="2">
                    <c:v>1.4268303003722943E-2</c:v>
                  </c:pt>
                  <c:pt idx="3">
                    <c:v>6.3064792481765219E-2</c:v>
                  </c:pt>
                  <c:pt idx="4">
                    <c:v>9.6850331407666454E-2</c:v>
                  </c:pt>
                  <c:pt idx="5">
                    <c:v>4.3429218702406458E-2</c:v>
                  </c:pt>
                  <c:pt idx="6">
                    <c:v>0.24510737130673116</c:v>
                  </c:pt>
                  <c:pt idx="7">
                    <c:v>0.17538446879751601</c:v>
                  </c:pt>
                  <c:pt idx="8">
                    <c:v>0.34865785646053743</c:v>
                  </c:pt>
                  <c:pt idx="9">
                    <c:v>0.34334347491427997</c:v>
                  </c:pt>
                  <c:pt idx="10">
                    <c:v>0.22539327371960088</c:v>
                  </c:pt>
                </c:numCache>
              </c:numRef>
            </c:plus>
            <c:minus>
              <c:numRef>
                <c:f>'Guaia before reconst'!$N$3:$N$13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1.1752091257701568E-2</c:v>
                  </c:pt>
                  <c:pt idx="2">
                    <c:v>1.4268303003722943E-2</c:v>
                  </c:pt>
                  <c:pt idx="3">
                    <c:v>6.3064792481765219E-2</c:v>
                  </c:pt>
                  <c:pt idx="4">
                    <c:v>9.6850331407666454E-2</c:v>
                  </c:pt>
                  <c:pt idx="5">
                    <c:v>4.3429218702406458E-2</c:v>
                  </c:pt>
                  <c:pt idx="6">
                    <c:v>0.24510737130673116</c:v>
                  </c:pt>
                  <c:pt idx="7">
                    <c:v>0.17538446879751601</c:v>
                  </c:pt>
                  <c:pt idx="8">
                    <c:v>0.34865785646053743</c:v>
                  </c:pt>
                  <c:pt idx="9">
                    <c:v>0.34334347491427997</c:v>
                  </c:pt>
                  <c:pt idx="10">
                    <c:v>0.22539327371960088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'Guaia before reconst'!$L$3:$L$13</c:f>
              <c:numCache>
                <c:formatCode>General</c:formatCode>
                <c:ptCount val="1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0.25</c:v>
                </c:pt>
                <c:pt idx="5">
                  <c:v>0.5</c:v>
                </c:pt>
                <c:pt idx="6">
                  <c:v>1</c:v>
                </c:pt>
                <c:pt idx="7">
                  <c:v>2.5</c:v>
                </c:pt>
                <c:pt idx="8">
                  <c:v>5</c:v>
                </c:pt>
                <c:pt idx="9">
                  <c:v>7.5</c:v>
                </c:pt>
                <c:pt idx="10">
                  <c:v>10</c:v>
                </c:pt>
              </c:numCache>
            </c:numRef>
          </c:xVal>
          <c:yVal>
            <c:numRef>
              <c:f>'Guaia before reconst'!$M$3:$M$13</c:f>
              <c:numCache>
                <c:formatCode>General</c:formatCode>
                <c:ptCount val="11"/>
                <c:pt idx="0">
                  <c:v>0</c:v>
                </c:pt>
                <c:pt idx="1">
                  <c:v>8.0512615493958745E-2</c:v>
                </c:pt>
                <c:pt idx="2">
                  <c:v>0.17186601008562621</c:v>
                </c:pt>
                <c:pt idx="3">
                  <c:v>0.41935306460892807</c:v>
                </c:pt>
                <c:pt idx="4">
                  <c:v>1.0951830981148676</c:v>
                </c:pt>
                <c:pt idx="5">
                  <c:v>1.6949293710021318</c:v>
                </c:pt>
                <c:pt idx="6">
                  <c:v>1.8442544928419122</c:v>
                </c:pt>
                <c:pt idx="7">
                  <c:v>3.1057510068704093</c:v>
                </c:pt>
                <c:pt idx="8">
                  <c:v>2.6107768978238055</c:v>
                </c:pt>
                <c:pt idx="9">
                  <c:v>2.0151950705655399</c:v>
                </c:pt>
                <c:pt idx="10">
                  <c:v>1.7963964552238803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E7-2A46-BAFE-767D83738371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'Guaia before reconst'!$P$3:$P$103</c:f>
              <c:numCache>
                <c:formatCode>General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'Guaia before reconst'!$Q$3:$Q$103</c:f>
              <c:numCache>
                <c:formatCode>General</c:formatCode>
                <c:ptCount val="101"/>
                <c:pt idx="0">
                  <c:v>0</c:v>
                </c:pt>
                <c:pt idx="1">
                  <c:v>0.51720047449584827</c:v>
                </c:pt>
                <c:pt idx="2">
                  <c:v>0.91393967625480377</c:v>
                </c:pt>
                <c:pt idx="3">
                  <c:v>1.2279127985814127</c:v>
                </c:pt>
                <c:pt idx="4">
                  <c:v>1.4825729668461323</c:v>
                </c:pt>
                <c:pt idx="5">
                  <c:v>1.6932769483041339</c:v>
                </c:pt>
                <c:pt idx="6">
                  <c:v>1.8705013108763011</c:v>
                </c:pt>
                <c:pt idx="7">
                  <c:v>2.0216383307573418</c:v>
                </c:pt>
                <c:pt idx="8">
                  <c:v>2.1520531980530611</c:v>
                </c:pt>
                <c:pt idx="9">
                  <c:v>2.2657342657342654</c:v>
                </c:pt>
                <c:pt idx="10">
                  <c:v>2.3657080846446013</c:v>
                </c:pt>
                <c:pt idx="11">
                  <c:v>2.4543128447148463</c:v>
                </c:pt>
                <c:pt idx="12">
                  <c:v>2.5333835476408244</c:v>
                </c:pt>
                <c:pt idx="13">
                  <c:v>2.6043804564251802</c:v>
                </c:pt>
                <c:pt idx="14">
                  <c:v>2.6684801088065289</c:v>
                </c:pt>
                <c:pt idx="15">
                  <c:v>2.7266410339556217</c:v>
                </c:pt>
                <c:pt idx="16">
                  <c:v>2.7796520122194188</c:v>
                </c:pt>
                <c:pt idx="17">
                  <c:v>2.8281680586763898</c:v>
                </c:pt>
                <c:pt idx="18">
                  <c:v>2.8727376255744912</c:v>
                </c:pt>
                <c:pt idx="19">
                  <c:v>2.913823425958495</c:v>
                </c:pt>
                <c:pt idx="20">
                  <c:v>2.9518185579418512</c:v>
                </c:pt>
                <c:pt idx="21">
                  <c:v>2.9870591220502414</c:v>
                </c:pt>
                <c:pt idx="22">
                  <c:v>3.0198341903662507</c:v>
                </c:pt>
                <c:pt idx="23">
                  <c:v>3.0503937540135873</c:v>
                </c:pt>
                <c:pt idx="24">
                  <c:v>3.0789551116487401</c:v>
                </c:pt>
                <c:pt idx="25">
                  <c:v>3.105708044448666</c:v>
                </c:pt>
                <c:pt idx="26">
                  <c:v>3.130819038266794</c:v>
                </c:pt>
                <c:pt idx="27">
                  <c:v>3.1544347515407751</c:v>
                </c:pt>
                <c:pt idx="28">
                  <c:v>3.1766848816029145</c:v>
                </c:pt>
                <c:pt idx="29">
                  <c:v>3.1976845477281031</c:v>
                </c:pt>
                <c:pt idx="30">
                  <c:v>3.2175362833793426</c:v>
                </c:pt>
                <c:pt idx="31">
                  <c:v>3.2363317104317986</c:v>
                </c:pt>
                <c:pt idx="32">
                  <c:v>3.2541529530670954</c:v>
                </c:pt>
                <c:pt idx="33">
                  <c:v>3.2710738373708543</c:v>
                </c:pt>
                <c:pt idx="34">
                  <c:v>3.2871609135930226</c:v>
                </c:pt>
                <c:pt idx="35">
                  <c:v>3.3024743309207212</c:v>
                </c:pt>
                <c:pt idx="36">
                  <c:v>3.317068589006035</c:v>
                </c:pt>
                <c:pt idx="37">
                  <c:v>3.3309931860417104</c:v>
                </c:pt>
                <c:pt idx="38">
                  <c:v>3.3442931796263489</c:v>
                </c:pt>
                <c:pt idx="39">
                  <c:v>3.3570096738105168</c:v>
                </c:pt>
                <c:pt idx="40">
                  <c:v>3.3691802434155456</c:v>
                </c:pt>
                <c:pt idx="41">
                  <c:v>3.3808393048521657</c:v>
                </c:pt>
                <c:pt idx="42">
                  <c:v>3.3920184411468095</c:v>
                </c:pt>
                <c:pt idx="43">
                  <c:v>3.4027466876399064</c:v>
                </c:pt>
                <c:pt idx="44">
                  <c:v>3.4130507837982096</c:v>
                </c:pt>
                <c:pt idx="45">
                  <c:v>3.4229553957392369</c:v>
                </c:pt>
                <c:pt idx="46">
                  <c:v>3.4324833133664217</c:v>
                </c:pt>
                <c:pt idx="47">
                  <c:v>3.4416556254315416</c:v>
                </c:pt>
                <c:pt idx="48">
                  <c:v>3.4504918753549383</c:v>
                </c:pt>
                <c:pt idx="49">
                  <c:v>3.4590102002266718</c:v>
                </c:pt>
                <c:pt idx="50">
                  <c:v>3.4672274550691857</c:v>
                </c:pt>
                <c:pt idx="51">
                  <c:v>3.475159324153021</c:v>
                </c:pt>
                <c:pt idx="52">
                  <c:v>3.4828204209124891</c:v>
                </c:pt>
                <c:pt idx="53">
                  <c:v>3.4902243778005273</c:v>
                </c:pt>
                <c:pt idx="54">
                  <c:v>3.4973839272451186</c:v>
                </c:pt>
                <c:pt idx="55">
                  <c:v>3.5043109747186905</c:v>
                </c:pt>
                <c:pt idx="56">
                  <c:v>3.5110166648025949</c:v>
                </c:pt>
                <c:pt idx="57">
                  <c:v>3.5175114410178181</c:v>
                </c:pt>
                <c:pt idx="58">
                  <c:v>3.523805100097543</c:v>
                </c:pt>
                <c:pt idx="59">
                  <c:v>3.5299068412947685</c:v>
                </c:pt>
                <c:pt idx="60">
                  <c:v>3.5358253112469402</c:v>
                </c:pt>
                <c:pt idx="61">
                  <c:v>3.5415686448577386</c:v>
                </c:pt>
                <c:pt idx="62">
                  <c:v>3.5471445026025337</c:v>
                </c:pt>
                <c:pt idx="63">
                  <c:v>3.5525601046172417</c:v>
                </c:pt>
                <c:pt idx="64">
                  <c:v>3.5578222618895827</c:v>
                </c:pt>
                <c:pt idx="65">
                  <c:v>3.5629374048360734</c:v>
                </c:pt>
                <c:pt idx="66">
                  <c:v>3.5679116095168553</c:v>
                </c:pt>
                <c:pt idx="67">
                  <c:v>3.572750621713074</c:v>
                </c:pt>
                <c:pt idx="68">
                  <c:v>3.5774598790673977</c:v>
                </c:pt>
                <c:pt idx="69">
                  <c:v>3.582044531467051</c:v>
                </c:pt>
                <c:pt idx="70">
                  <c:v>3.5865094598299971</c:v>
                </c:pt>
                <c:pt idx="71">
                  <c:v>3.5908592934383332</c:v>
                </c:pt>
                <c:pt idx="72">
                  <c:v>3.5950984259483119</c:v>
                </c:pt>
                <c:pt idx="73">
                  <c:v>3.5992310301933728</c:v>
                </c:pt>
                <c:pt idx="74">
                  <c:v>3.6032610718850431</c:v>
                </c:pt>
                <c:pt idx="75">
                  <c:v>3.6071923223062492</c:v>
                </c:pt>
                <c:pt idx="76">
                  <c:v>3.6110283700824581</c:v>
                </c:pt>
                <c:pt idx="77">
                  <c:v>3.6147726321078633</c:v>
                </c:pt>
                <c:pt idx="78">
                  <c:v>3.6184283636965486</c:v>
                </c:pt>
                <c:pt idx="79">
                  <c:v>3.6219986680220124</c:v>
                </c:pt>
                <c:pt idx="80">
                  <c:v>3.6254865049025833</c:v>
                </c:pt>
                <c:pt idx="81">
                  <c:v>3.6288946989850088</c:v>
                </c:pt>
                <c:pt idx="82">
                  <c:v>3.6322259473737679</c:v>
                </c:pt>
                <c:pt idx="83">
                  <c:v>3.6354828267494161</c:v>
                </c:pt>
                <c:pt idx="84">
                  <c:v>3.6386678000154546</c:v>
                </c:pt>
                <c:pt idx="85">
                  <c:v>3.6417832225097442</c:v>
                </c:pt>
                <c:pt idx="86">
                  <c:v>3.6448313478134078</c:v>
                </c:pt>
                <c:pt idx="87">
                  <c:v>3.6478143331873012</c:v>
                </c:pt>
                <c:pt idx="88">
                  <c:v>3.650734244663643</c:v>
                </c:pt>
                <c:pt idx="89">
                  <c:v>3.6535930618180292</c:v>
                </c:pt>
                <c:pt idx="90">
                  <c:v>3.6563926822450226</c:v>
                </c:pt>
                <c:pt idx="91">
                  <c:v>3.6591349257585533</c:v>
                </c:pt>
                <c:pt idx="92">
                  <c:v>3.6618215383366972</c:v>
                </c:pt>
                <c:pt idx="93">
                  <c:v>3.6644541958287724</c:v>
                </c:pt>
                <c:pt idx="94">
                  <c:v>3.6670345074413193</c:v>
                </c:pt>
                <c:pt idx="95">
                  <c:v>3.6695640190181811</c:v>
                </c:pt>
                <c:pt idx="96">
                  <c:v>3.6720442161287492</c:v>
                </c:pt>
                <c:pt idx="97">
                  <c:v>3.674476526977323</c:v>
                </c:pt>
                <c:pt idx="98">
                  <c:v>3.6768623251455725</c:v>
                </c:pt>
                <c:pt idx="99">
                  <c:v>3.6792029321791504</c:v>
                </c:pt>
                <c:pt idx="100">
                  <c:v>3.6814996200287089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E7-2A46-BAFE-767D83738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7296767"/>
        <c:axId val="997298415"/>
      </c:scatterChart>
      <c:valAx>
        <c:axId val="997296767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H2O2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97298415"/>
        <c:crosses val="autoZero"/>
        <c:crossBetween val="midCat"/>
        <c:majorUnit val="2"/>
      </c:valAx>
      <c:valAx>
        <c:axId val="9972984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specific activity [mmol l1- mg-1 min-1]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97296767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'Guaia before reconst'!$N$3:$N$13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1.1752091257701568E-2</c:v>
                  </c:pt>
                  <c:pt idx="2">
                    <c:v>1.4268303003722943E-2</c:v>
                  </c:pt>
                  <c:pt idx="3">
                    <c:v>6.3064792481765219E-2</c:v>
                  </c:pt>
                  <c:pt idx="4">
                    <c:v>9.6850331407666454E-2</c:v>
                  </c:pt>
                  <c:pt idx="5">
                    <c:v>4.3429218702406458E-2</c:v>
                  </c:pt>
                  <c:pt idx="6">
                    <c:v>0.24510737130673116</c:v>
                  </c:pt>
                  <c:pt idx="7">
                    <c:v>0.17538446879751601</c:v>
                  </c:pt>
                  <c:pt idx="8">
                    <c:v>0.34865785646053743</c:v>
                  </c:pt>
                  <c:pt idx="9">
                    <c:v>0.34334347491427997</c:v>
                  </c:pt>
                  <c:pt idx="10">
                    <c:v>0.22539327371960088</c:v>
                  </c:pt>
                </c:numCache>
              </c:numRef>
            </c:plus>
            <c:minus>
              <c:numRef>
                <c:f>'Guaia before reconst'!$N$3:$N$13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1.1752091257701568E-2</c:v>
                  </c:pt>
                  <c:pt idx="2">
                    <c:v>1.4268303003722943E-2</c:v>
                  </c:pt>
                  <c:pt idx="3">
                    <c:v>6.3064792481765219E-2</c:v>
                  </c:pt>
                  <c:pt idx="4">
                    <c:v>9.6850331407666454E-2</c:v>
                  </c:pt>
                  <c:pt idx="5">
                    <c:v>4.3429218702406458E-2</c:v>
                  </c:pt>
                  <c:pt idx="6">
                    <c:v>0.24510737130673116</c:v>
                  </c:pt>
                  <c:pt idx="7">
                    <c:v>0.17538446879751601</c:v>
                  </c:pt>
                  <c:pt idx="8">
                    <c:v>0.34865785646053743</c:v>
                  </c:pt>
                  <c:pt idx="9">
                    <c:v>0.34334347491427997</c:v>
                  </c:pt>
                  <c:pt idx="10">
                    <c:v>0.22539327371960088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'Guaia before reconst'!$L$3:$L$13</c:f>
              <c:numCache>
                <c:formatCode>General</c:formatCode>
                <c:ptCount val="1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0.25</c:v>
                </c:pt>
                <c:pt idx="5">
                  <c:v>0.5</c:v>
                </c:pt>
                <c:pt idx="6">
                  <c:v>1</c:v>
                </c:pt>
                <c:pt idx="7">
                  <c:v>2.5</c:v>
                </c:pt>
                <c:pt idx="8">
                  <c:v>5</c:v>
                </c:pt>
                <c:pt idx="9">
                  <c:v>7.5</c:v>
                </c:pt>
                <c:pt idx="10">
                  <c:v>10</c:v>
                </c:pt>
              </c:numCache>
            </c:numRef>
          </c:xVal>
          <c:yVal>
            <c:numRef>
              <c:f>'Guaia before reconst'!$M$3:$M$13</c:f>
              <c:numCache>
                <c:formatCode>General</c:formatCode>
                <c:ptCount val="11"/>
                <c:pt idx="0">
                  <c:v>0</c:v>
                </c:pt>
                <c:pt idx="1">
                  <c:v>8.0512615493958745E-2</c:v>
                </c:pt>
                <c:pt idx="2">
                  <c:v>0.17186601008562621</c:v>
                </c:pt>
                <c:pt idx="3">
                  <c:v>0.41935306460892807</c:v>
                </c:pt>
                <c:pt idx="4">
                  <c:v>1.0951830981148676</c:v>
                </c:pt>
                <c:pt idx="5">
                  <c:v>1.6949293710021318</c:v>
                </c:pt>
                <c:pt idx="6">
                  <c:v>1.8442544928419122</c:v>
                </c:pt>
                <c:pt idx="7">
                  <c:v>3.1057510068704093</c:v>
                </c:pt>
                <c:pt idx="8">
                  <c:v>2.6107768978238055</c:v>
                </c:pt>
                <c:pt idx="9">
                  <c:v>2.0151950705655399</c:v>
                </c:pt>
                <c:pt idx="10">
                  <c:v>1.7963964552238803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35-EA49-915F-1F7DF598AED6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'Guaia before reconst'!$P$3:$P$103</c:f>
              <c:numCache>
                <c:formatCode>General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'Guaia before reconst'!$Q$3:$Q$103</c:f>
              <c:numCache>
                <c:formatCode>General</c:formatCode>
                <c:ptCount val="101"/>
                <c:pt idx="0">
                  <c:v>0</c:v>
                </c:pt>
                <c:pt idx="1">
                  <c:v>0.51720047449584827</c:v>
                </c:pt>
                <c:pt idx="2">
                  <c:v>0.91393967625480377</c:v>
                </c:pt>
                <c:pt idx="3">
                  <c:v>1.2279127985814127</c:v>
                </c:pt>
                <c:pt idx="4">
                  <c:v>1.4825729668461323</c:v>
                </c:pt>
                <c:pt idx="5">
                  <c:v>1.6932769483041339</c:v>
                </c:pt>
                <c:pt idx="6">
                  <c:v>1.8705013108763011</c:v>
                </c:pt>
                <c:pt idx="7">
                  <c:v>2.0216383307573418</c:v>
                </c:pt>
                <c:pt idx="8">
                  <c:v>2.1520531980530611</c:v>
                </c:pt>
                <c:pt idx="9">
                  <c:v>2.2657342657342654</c:v>
                </c:pt>
                <c:pt idx="10">
                  <c:v>2.3657080846446013</c:v>
                </c:pt>
                <c:pt idx="11">
                  <c:v>2.4543128447148463</c:v>
                </c:pt>
                <c:pt idx="12">
                  <c:v>2.5333835476408244</c:v>
                </c:pt>
                <c:pt idx="13">
                  <c:v>2.6043804564251802</c:v>
                </c:pt>
                <c:pt idx="14">
                  <c:v>2.6684801088065289</c:v>
                </c:pt>
                <c:pt idx="15">
                  <c:v>2.7266410339556217</c:v>
                </c:pt>
                <c:pt idx="16">
                  <c:v>2.7796520122194188</c:v>
                </c:pt>
                <c:pt idx="17">
                  <c:v>2.8281680586763898</c:v>
                </c:pt>
                <c:pt idx="18">
                  <c:v>2.8727376255744912</c:v>
                </c:pt>
                <c:pt idx="19">
                  <c:v>2.913823425958495</c:v>
                </c:pt>
                <c:pt idx="20">
                  <c:v>2.9518185579418512</c:v>
                </c:pt>
                <c:pt idx="21">
                  <c:v>2.9870591220502414</c:v>
                </c:pt>
                <c:pt idx="22">
                  <c:v>3.0198341903662507</c:v>
                </c:pt>
                <c:pt idx="23">
                  <c:v>3.0503937540135873</c:v>
                </c:pt>
                <c:pt idx="24">
                  <c:v>3.0789551116487401</c:v>
                </c:pt>
                <c:pt idx="25">
                  <c:v>3.105708044448666</c:v>
                </c:pt>
                <c:pt idx="26">
                  <c:v>3.130819038266794</c:v>
                </c:pt>
                <c:pt idx="27">
                  <c:v>3.1544347515407751</c:v>
                </c:pt>
                <c:pt idx="28">
                  <c:v>3.1766848816029145</c:v>
                </c:pt>
                <c:pt idx="29">
                  <c:v>3.1976845477281031</c:v>
                </c:pt>
                <c:pt idx="30">
                  <c:v>3.2175362833793426</c:v>
                </c:pt>
                <c:pt idx="31">
                  <c:v>3.2363317104317986</c:v>
                </c:pt>
                <c:pt idx="32">
                  <c:v>3.2541529530670954</c:v>
                </c:pt>
                <c:pt idx="33">
                  <c:v>3.2710738373708543</c:v>
                </c:pt>
                <c:pt idx="34">
                  <c:v>3.2871609135930226</c:v>
                </c:pt>
                <c:pt idx="35">
                  <c:v>3.3024743309207212</c:v>
                </c:pt>
                <c:pt idx="36">
                  <c:v>3.317068589006035</c:v>
                </c:pt>
                <c:pt idx="37">
                  <c:v>3.3309931860417104</c:v>
                </c:pt>
                <c:pt idx="38">
                  <c:v>3.3442931796263489</c:v>
                </c:pt>
                <c:pt idx="39">
                  <c:v>3.3570096738105168</c:v>
                </c:pt>
                <c:pt idx="40">
                  <c:v>3.3691802434155456</c:v>
                </c:pt>
                <c:pt idx="41">
                  <c:v>3.3808393048521657</c:v>
                </c:pt>
                <c:pt idx="42">
                  <c:v>3.3920184411468095</c:v>
                </c:pt>
                <c:pt idx="43">
                  <c:v>3.4027466876399064</c:v>
                </c:pt>
                <c:pt idx="44">
                  <c:v>3.4130507837982096</c:v>
                </c:pt>
                <c:pt idx="45">
                  <c:v>3.4229553957392369</c:v>
                </c:pt>
                <c:pt idx="46">
                  <c:v>3.4324833133664217</c:v>
                </c:pt>
                <c:pt idx="47">
                  <c:v>3.4416556254315416</c:v>
                </c:pt>
                <c:pt idx="48">
                  <c:v>3.4504918753549383</c:v>
                </c:pt>
                <c:pt idx="49">
                  <c:v>3.4590102002266718</c:v>
                </c:pt>
                <c:pt idx="50">
                  <c:v>3.4672274550691857</c:v>
                </c:pt>
                <c:pt idx="51">
                  <c:v>3.475159324153021</c:v>
                </c:pt>
                <c:pt idx="52">
                  <c:v>3.4828204209124891</c:v>
                </c:pt>
                <c:pt idx="53">
                  <c:v>3.4902243778005273</c:v>
                </c:pt>
                <c:pt idx="54">
                  <c:v>3.4973839272451186</c:v>
                </c:pt>
                <c:pt idx="55">
                  <c:v>3.5043109747186905</c:v>
                </c:pt>
                <c:pt idx="56">
                  <c:v>3.5110166648025949</c:v>
                </c:pt>
                <c:pt idx="57">
                  <c:v>3.5175114410178181</c:v>
                </c:pt>
                <c:pt idx="58">
                  <c:v>3.523805100097543</c:v>
                </c:pt>
                <c:pt idx="59">
                  <c:v>3.5299068412947685</c:v>
                </c:pt>
                <c:pt idx="60">
                  <c:v>3.5358253112469402</c:v>
                </c:pt>
                <c:pt idx="61">
                  <c:v>3.5415686448577386</c:v>
                </c:pt>
                <c:pt idx="62">
                  <c:v>3.5471445026025337</c:v>
                </c:pt>
                <c:pt idx="63">
                  <c:v>3.5525601046172417</c:v>
                </c:pt>
                <c:pt idx="64">
                  <c:v>3.5578222618895827</c:v>
                </c:pt>
                <c:pt idx="65">
                  <c:v>3.5629374048360734</c:v>
                </c:pt>
                <c:pt idx="66">
                  <c:v>3.5679116095168553</c:v>
                </c:pt>
                <c:pt idx="67">
                  <c:v>3.572750621713074</c:v>
                </c:pt>
                <c:pt idx="68">
                  <c:v>3.5774598790673977</c:v>
                </c:pt>
                <c:pt idx="69">
                  <c:v>3.582044531467051</c:v>
                </c:pt>
                <c:pt idx="70">
                  <c:v>3.5865094598299971</c:v>
                </c:pt>
                <c:pt idx="71">
                  <c:v>3.5908592934383332</c:v>
                </c:pt>
                <c:pt idx="72">
                  <c:v>3.5950984259483119</c:v>
                </c:pt>
                <c:pt idx="73">
                  <c:v>3.5992310301933728</c:v>
                </c:pt>
                <c:pt idx="74">
                  <c:v>3.6032610718850431</c:v>
                </c:pt>
                <c:pt idx="75">
                  <c:v>3.6071923223062492</c:v>
                </c:pt>
                <c:pt idx="76">
                  <c:v>3.6110283700824581</c:v>
                </c:pt>
                <c:pt idx="77">
                  <c:v>3.6147726321078633</c:v>
                </c:pt>
                <c:pt idx="78">
                  <c:v>3.6184283636965486</c:v>
                </c:pt>
                <c:pt idx="79">
                  <c:v>3.6219986680220124</c:v>
                </c:pt>
                <c:pt idx="80">
                  <c:v>3.6254865049025833</c:v>
                </c:pt>
                <c:pt idx="81">
                  <c:v>3.6288946989850088</c:v>
                </c:pt>
                <c:pt idx="82">
                  <c:v>3.6322259473737679</c:v>
                </c:pt>
                <c:pt idx="83">
                  <c:v>3.6354828267494161</c:v>
                </c:pt>
                <c:pt idx="84">
                  <c:v>3.6386678000154546</c:v>
                </c:pt>
                <c:pt idx="85">
                  <c:v>3.6417832225097442</c:v>
                </c:pt>
                <c:pt idx="86">
                  <c:v>3.6448313478134078</c:v>
                </c:pt>
                <c:pt idx="87">
                  <c:v>3.6478143331873012</c:v>
                </c:pt>
                <c:pt idx="88">
                  <c:v>3.650734244663643</c:v>
                </c:pt>
                <c:pt idx="89">
                  <c:v>3.6535930618180292</c:v>
                </c:pt>
                <c:pt idx="90">
                  <c:v>3.6563926822450226</c:v>
                </c:pt>
                <c:pt idx="91">
                  <c:v>3.6591349257585533</c:v>
                </c:pt>
                <c:pt idx="92">
                  <c:v>3.6618215383366972</c:v>
                </c:pt>
                <c:pt idx="93">
                  <c:v>3.6644541958287724</c:v>
                </c:pt>
                <c:pt idx="94">
                  <c:v>3.6670345074413193</c:v>
                </c:pt>
                <c:pt idx="95">
                  <c:v>3.6695640190181811</c:v>
                </c:pt>
                <c:pt idx="96">
                  <c:v>3.6720442161287492</c:v>
                </c:pt>
                <c:pt idx="97">
                  <c:v>3.674476526977323</c:v>
                </c:pt>
                <c:pt idx="98">
                  <c:v>3.6768623251455725</c:v>
                </c:pt>
                <c:pt idx="99">
                  <c:v>3.6792029321791504</c:v>
                </c:pt>
                <c:pt idx="100">
                  <c:v>3.6814996200287089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35-EA49-915F-1F7DF598A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7296767"/>
        <c:axId val="997298415"/>
      </c:scatterChart>
      <c:valAx>
        <c:axId val="997296767"/>
        <c:scaling>
          <c:orientation val="minMax"/>
          <c:max val="2.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H2O2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97298415"/>
        <c:crosses val="autoZero"/>
        <c:crossBetween val="midCat"/>
      </c:valAx>
      <c:valAx>
        <c:axId val="9972984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specific activity [mmol l1- mg-1 min-1]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97296767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'gauaia after reconst'!$M$3:$M$13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2.2638280524720649E-2</c:v>
                  </c:pt>
                  <c:pt idx="2">
                    <c:v>2.2435868526834717E-3</c:v>
                  </c:pt>
                  <c:pt idx="3">
                    <c:v>2.2718186462196612E-2</c:v>
                  </c:pt>
                  <c:pt idx="4">
                    <c:v>5.8237299463296574E-2</c:v>
                  </c:pt>
                  <c:pt idx="5">
                    <c:v>0.16030964919815877</c:v>
                  </c:pt>
                  <c:pt idx="6">
                    <c:v>6.4251446847395588E-2</c:v>
                  </c:pt>
                  <c:pt idx="7">
                    <c:v>2.915111940298476E-2</c:v>
                  </c:pt>
                  <c:pt idx="8">
                    <c:v>0.2258729818120653</c:v>
                  </c:pt>
                  <c:pt idx="9">
                    <c:v>2.6969743121129763E-2</c:v>
                  </c:pt>
                  <c:pt idx="10">
                    <c:v>6.3581490359381723E-2</c:v>
                  </c:pt>
                </c:numCache>
              </c:numRef>
            </c:plus>
            <c:minus>
              <c:numRef>
                <c:f>'gauaia after reconst'!$M$3:$M$13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2.2638280524720649E-2</c:v>
                  </c:pt>
                  <c:pt idx="2">
                    <c:v>2.2435868526834717E-3</c:v>
                  </c:pt>
                  <c:pt idx="3">
                    <c:v>2.2718186462196612E-2</c:v>
                  </c:pt>
                  <c:pt idx="4">
                    <c:v>5.8237299463296574E-2</c:v>
                  </c:pt>
                  <c:pt idx="5">
                    <c:v>0.16030964919815877</c:v>
                  </c:pt>
                  <c:pt idx="6">
                    <c:v>6.4251446847395588E-2</c:v>
                  </c:pt>
                  <c:pt idx="7">
                    <c:v>2.915111940298476E-2</c:v>
                  </c:pt>
                  <c:pt idx="8">
                    <c:v>0.2258729818120653</c:v>
                  </c:pt>
                  <c:pt idx="9">
                    <c:v>2.6969743121129763E-2</c:v>
                  </c:pt>
                  <c:pt idx="10">
                    <c:v>6.3581490359381723E-2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'gauaia after reconst'!$K$3:$K$13</c:f>
              <c:numCache>
                <c:formatCode>General</c:formatCode>
                <c:ptCount val="1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0.25</c:v>
                </c:pt>
                <c:pt idx="5">
                  <c:v>0.5</c:v>
                </c:pt>
                <c:pt idx="6">
                  <c:v>1</c:v>
                </c:pt>
                <c:pt idx="7">
                  <c:v>2.5</c:v>
                </c:pt>
                <c:pt idx="8">
                  <c:v>5</c:v>
                </c:pt>
                <c:pt idx="9">
                  <c:v>7.5</c:v>
                </c:pt>
                <c:pt idx="10">
                  <c:v>10</c:v>
                </c:pt>
              </c:numCache>
            </c:numRef>
          </c:xVal>
          <c:yVal>
            <c:numRef>
              <c:f>'gauaia after reconst'!$L$3:$L$13</c:f>
              <c:numCache>
                <c:formatCode>0.00</c:formatCode>
                <c:ptCount val="11"/>
                <c:pt idx="0" formatCode="General">
                  <c:v>0</c:v>
                </c:pt>
                <c:pt idx="1">
                  <c:v>5.8302238805970137E-2</c:v>
                </c:pt>
                <c:pt idx="2">
                  <c:v>0.16023200324906076</c:v>
                </c:pt>
                <c:pt idx="3">
                  <c:v>0.41811034115138579</c:v>
                </c:pt>
                <c:pt idx="4">
                  <c:v>1.3067104951433308</c:v>
                </c:pt>
                <c:pt idx="5">
                  <c:v>2.280265339966832</c:v>
                </c:pt>
                <c:pt idx="6">
                  <c:v>3.1118324195349771</c:v>
                </c:pt>
                <c:pt idx="7">
                  <c:v>3.2072180551324996</c:v>
                </c:pt>
                <c:pt idx="8">
                  <c:v>3.0608014350018613</c:v>
                </c:pt>
                <c:pt idx="9">
                  <c:v>2.5288100314752766</c:v>
                </c:pt>
                <c:pt idx="10">
                  <c:v>2.6023158019426673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67-2940-BB17-B37A7251D27F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'gauaia after reconst'!$O$3:$O$103</c:f>
              <c:numCache>
                <c:formatCode>General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'gauaia after reconst'!$P$3:$P$103</c:f>
              <c:numCache>
                <c:formatCode>0.00</c:formatCode>
                <c:ptCount val="101"/>
                <c:pt idx="0" formatCode="General">
                  <c:v>0</c:v>
                </c:pt>
                <c:pt idx="1">
                  <c:v>0.70200135685210319</c:v>
                </c:pt>
                <c:pt idx="2">
                  <c:v>1.2004060324825987</c:v>
                </c:pt>
                <c:pt idx="3">
                  <c:v>1.5725683890577509</c:v>
                </c:pt>
                <c:pt idx="4">
                  <c:v>1.8610611510791371</c:v>
                </c:pt>
                <c:pt idx="5">
                  <c:v>2.0912489894907034</c:v>
                </c:pt>
                <c:pt idx="6">
                  <c:v>2.2791850220264318</c:v>
                </c:pt>
                <c:pt idx="7">
                  <c:v>2.4355245460659045</c:v>
                </c:pt>
                <c:pt idx="8">
                  <c:v>2.5676178660049631</c:v>
                </c:pt>
                <c:pt idx="9">
                  <c:v>2.6806994818652852</c:v>
                </c:pt>
                <c:pt idx="10">
                  <c:v>2.7785982814178301</c:v>
                </c:pt>
                <c:pt idx="11">
                  <c:v>2.8641796678409661</c:v>
                </c:pt>
                <c:pt idx="12">
                  <c:v>2.9396306818181821</c:v>
                </c:pt>
                <c:pt idx="13">
                  <c:v>3.0066495306213681</c:v>
                </c:pt>
                <c:pt idx="14">
                  <c:v>3.0665749364944963</c:v>
                </c:pt>
                <c:pt idx="15">
                  <c:v>3.1204764776839569</c:v>
                </c:pt>
                <c:pt idx="16">
                  <c:v>3.1692189892802451</c:v>
                </c:pt>
                <c:pt idx="17">
                  <c:v>3.2135093167701867</c:v>
                </c:pt>
                <c:pt idx="18">
                  <c:v>3.2539308176100632</c:v>
                </c:pt>
                <c:pt idx="19">
                  <c:v>3.2909691998660868</c:v>
                </c:pt>
                <c:pt idx="20">
                  <c:v>3.3250321336760931</c:v>
                </c:pt>
                <c:pt idx="21">
                  <c:v>3.3564643188137167</c:v>
                </c:pt>
                <c:pt idx="22">
                  <c:v>3.385559190957764</c:v>
                </c:pt>
                <c:pt idx="23">
                  <c:v>3.4125681101233161</c:v>
                </c:pt>
                <c:pt idx="24">
                  <c:v>3.4377076411960137</c:v>
                </c:pt>
                <c:pt idx="25">
                  <c:v>3.4611653732940866</c:v>
                </c:pt>
                <c:pt idx="26">
                  <c:v>3.4831046090108759</c:v>
                </c:pt>
                <c:pt idx="27">
                  <c:v>3.5036681715575626</c:v>
                </c:pt>
                <c:pt idx="28">
                  <c:v>3.5229815175097281</c:v>
                </c:pt>
                <c:pt idx="29">
                  <c:v>3.5411552985603025</c:v>
                </c:pt>
                <c:pt idx="30">
                  <c:v>3.5582874828060529</c:v>
                </c:pt>
                <c:pt idx="31">
                  <c:v>3.5744651214620022</c:v>
                </c:pt>
                <c:pt idx="32">
                  <c:v>3.5897658282740683</c:v>
                </c:pt>
                <c:pt idx="33">
                  <c:v>3.6042590246991772</c:v>
                </c:pt>
                <c:pt idx="34">
                  <c:v>3.6180069930069938</c:v>
                </c:pt>
                <c:pt idx="35">
                  <c:v>3.6310657710046126</c:v>
                </c:pt>
                <c:pt idx="36">
                  <c:v>3.6434859154929584</c:v>
                </c:pt>
                <c:pt idx="37">
                  <c:v>3.6553131563872445</c:v>
                </c:pt>
                <c:pt idx="38">
                  <c:v>3.6665889593435295</c:v>
                </c:pt>
                <c:pt idx="39">
                  <c:v>3.6773510114816843</c:v>
                </c:pt>
                <c:pt idx="40">
                  <c:v>3.687633642195296</c:v>
                </c:pt>
                <c:pt idx="41">
                  <c:v>3.6974681889489278</c:v>
                </c:pt>
                <c:pt idx="42">
                  <c:v>3.7068833162743089</c:v>
                </c:pt>
                <c:pt idx="43">
                  <c:v>3.7159052948054114</c:v>
                </c:pt>
                <c:pt idx="44">
                  <c:v>3.7245582460732987</c:v>
                </c:pt>
                <c:pt idx="45">
                  <c:v>3.7328643578643583</c:v>
                </c:pt>
                <c:pt idx="46">
                  <c:v>3.7408440741905062</c:v>
                </c:pt>
                <c:pt idx="47">
                  <c:v>3.7485162632958224</c:v>
                </c:pt>
                <c:pt idx="48">
                  <c:v>3.7558983666061705</c:v>
                </c:pt>
                <c:pt idx="49">
                  <c:v>3.7630065310969272</c:v>
                </c:pt>
                <c:pt idx="50">
                  <c:v>3.7698557271932378</c:v>
                </c:pt>
                <c:pt idx="51">
                  <c:v>3.7764598540145982</c:v>
                </c:pt>
                <c:pt idx="52">
                  <c:v>3.7828318335208095</c:v>
                </c:pt>
                <c:pt idx="53">
                  <c:v>3.7889836949012023</c:v>
                </c:pt>
                <c:pt idx="54">
                  <c:v>3.7949266503667483</c:v>
                </c:pt>
                <c:pt idx="55">
                  <c:v>3.8006711633498065</c:v>
                </c:pt>
                <c:pt idx="56">
                  <c:v>3.8062270099842355</c:v>
                </c:pt>
                <c:pt idx="57">
                  <c:v>3.8116033346258238</c:v>
                </c:pt>
                <c:pt idx="58">
                  <c:v>3.8168087000763165</c:v>
                </c:pt>
                <c:pt idx="59">
                  <c:v>3.8218511330912732</c:v>
                </c:pt>
                <c:pt idx="60">
                  <c:v>3.8267381656804731</c:v>
                </c:pt>
                <c:pt idx="61">
                  <c:v>3.8314768726478081</c:v>
                </c:pt>
                <c:pt idx="62">
                  <c:v>3.8360739057641715</c:v>
                </c:pt>
                <c:pt idx="63">
                  <c:v>3.8405355249204667</c:v>
                </c:pt>
                <c:pt idx="64">
                  <c:v>3.8448676265675799</c:v>
                </c:pt>
                <c:pt idx="65">
                  <c:v>3.8490757697150051</c:v>
                </c:pt>
                <c:pt idx="66">
                  <c:v>3.8531651997291805</c:v>
                </c:pt>
                <c:pt idx="67">
                  <c:v>3.8571408701457659</c:v>
                </c:pt>
                <c:pt idx="68">
                  <c:v>3.8610074626865667</c:v>
                </c:pt>
                <c:pt idx="69">
                  <c:v>3.864769405651185</c:v>
                </c:pt>
                <c:pt idx="70">
                  <c:v>3.8684308908352913</c:v>
                </c:pt>
                <c:pt idx="71">
                  <c:v>3.8719958891114157</c:v>
                </c:pt>
                <c:pt idx="72">
                  <c:v>3.8754681647940075</c:v>
                </c:pt>
                <c:pt idx="73">
                  <c:v>3.8788512888980176</c:v>
                </c:pt>
                <c:pt idx="74">
                  <c:v>3.8821486513891705</c:v>
                </c:pt>
                <c:pt idx="75">
                  <c:v>3.8853634725142685</c:v>
                </c:pt>
                <c:pt idx="76">
                  <c:v>3.8884988132911396</c:v>
                </c:pt>
                <c:pt idx="77">
                  <c:v>3.8915575852300481</c:v>
                </c:pt>
                <c:pt idx="78">
                  <c:v>3.8945425593514771</c:v>
                </c:pt>
                <c:pt idx="79">
                  <c:v>3.8974563745589781</c:v>
                </c:pt>
                <c:pt idx="80">
                  <c:v>3.9003015454202794</c:v>
                </c:pt>
                <c:pt idx="81">
                  <c:v>3.9030804694048622</c:v>
                </c:pt>
                <c:pt idx="82">
                  <c:v>3.905795433621801</c:v>
                </c:pt>
                <c:pt idx="83">
                  <c:v>3.9084486210976612</c:v>
                </c:pt>
                <c:pt idx="84">
                  <c:v>3.9110421166306697</c:v>
                </c:pt>
                <c:pt idx="85">
                  <c:v>3.9135779122541603</c:v>
                </c:pt>
                <c:pt idx="86">
                  <c:v>3.9160579123393768</c:v>
                </c:pt>
                <c:pt idx="87">
                  <c:v>3.9184839383651084</c:v>
                </c:pt>
                <c:pt idx="88">
                  <c:v>3.9208577333792629</c:v>
                </c:pt>
                <c:pt idx="89">
                  <c:v>3.9231809661753427</c:v>
                </c:pt>
                <c:pt idx="90">
                  <c:v>3.925455235204856</c:v>
                </c:pt>
                <c:pt idx="91">
                  <c:v>3.9276820722449317</c:v>
                </c:pt>
                <c:pt idx="92">
                  <c:v>3.9298629458388374</c:v>
                </c:pt>
                <c:pt idx="93">
                  <c:v>3.931999264525619</c:v>
                </c:pt>
                <c:pt idx="94">
                  <c:v>3.9340923798738072</c:v>
                </c:pt>
                <c:pt idx="95">
                  <c:v>3.9361435893329064</c:v>
                </c:pt>
                <c:pt idx="96">
                  <c:v>3.9381541389153192</c:v>
                </c:pt>
                <c:pt idx="97">
                  <c:v>3.9401252257203425</c:v>
                </c:pt>
                <c:pt idx="98">
                  <c:v>3.9420580003109937</c:v>
                </c:pt>
                <c:pt idx="99">
                  <c:v>3.9439535689535692</c:v>
                </c:pt>
                <c:pt idx="100">
                  <c:v>3.9458129957291033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67-2940-BB17-B37A7251D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618143"/>
        <c:axId val="999619791"/>
      </c:scatterChart>
      <c:valAx>
        <c:axId val="999618143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H2O2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99619791"/>
        <c:crosses val="autoZero"/>
        <c:crossBetween val="midCat"/>
      </c:valAx>
      <c:valAx>
        <c:axId val="99961979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specific activity [mmol l-1 mg-1 min-1]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99618143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'gauaia after reconst'!$M$3:$M$13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2.2638280524720649E-2</c:v>
                  </c:pt>
                  <c:pt idx="2">
                    <c:v>2.2435868526834717E-3</c:v>
                  </c:pt>
                  <c:pt idx="3">
                    <c:v>2.2718186462196612E-2</c:v>
                  </c:pt>
                  <c:pt idx="4">
                    <c:v>5.8237299463296574E-2</c:v>
                  </c:pt>
                  <c:pt idx="5">
                    <c:v>0.16030964919815877</c:v>
                  </c:pt>
                  <c:pt idx="6">
                    <c:v>6.4251446847395588E-2</c:v>
                  </c:pt>
                  <c:pt idx="7">
                    <c:v>2.915111940298476E-2</c:v>
                  </c:pt>
                  <c:pt idx="8">
                    <c:v>0.2258729818120653</c:v>
                  </c:pt>
                  <c:pt idx="9">
                    <c:v>2.6969743121129763E-2</c:v>
                  </c:pt>
                  <c:pt idx="10">
                    <c:v>6.3581490359381723E-2</c:v>
                  </c:pt>
                </c:numCache>
              </c:numRef>
            </c:plus>
            <c:minus>
              <c:numRef>
                <c:f>'gauaia after reconst'!$M$3:$M$13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2.2638280524720649E-2</c:v>
                  </c:pt>
                  <c:pt idx="2">
                    <c:v>2.2435868526834717E-3</c:v>
                  </c:pt>
                  <c:pt idx="3">
                    <c:v>2.2718186462196612E-2</c:v>
                  </c:pt>
                  <c:pt idx="4">
                    <c:v>5.8237299463296574E-2</c:v>
                  </c:pt>
                  <c:pt idx="5">
                    <c:v>0.16030964919815877</c:v>
                  </c:pt>
                  <c:pt idx="6">
                    <c:v>6.4251446847395588E-2</c:v>
                  </c:pt>
                  <c:pt idx="7">
                    <c:v>2.915111940298476E-2</c:v>
                  </c:pt>
                  <c:pt idx="8">
                    <c:v>0.2258729818120653</c:v>
                  </c:pt>
                  <c:pt idx="9">
                    <c:v>2.6969743121129763E-2</c:v>
                  </c:pt>
                  <c:pt idx="10">
                    <c:v>6.3581490359381723E-2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'gauaia after reconst'!$K$3:$K$13</c:f>
              <c:numCache>
                <c:formatCode>General</c:formatCode>
                <c:ptCount val="1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0.25</c:v>
                </c:pt>
                <c:pt idx="5">
                  <c:v>0.5</c:v>
                </c:pt>
                <c:pt idx="6">
                  <c:v>1</c:v>
                </c:pt>
                <c:pt idx="7">
                  <c:v>2.5</c:v>
                </c:pt>
                <c:pt idx="8">
                  <c:v>5</c:v>
                </c:pt>
                <c:pt idx="9">
                  <c:v>7.5</c:v>
                </c:pt>
                <c:pt idx="10">
                  <c:v>10</c:v>
                </c:pt>
              </c:numCache>
            </c:numRef>
          </c:xVal>
          <c:yVal>
            <c:numRef>
              <c:f>'gauaia after reconst'!$L$3:$L$13</c:f>
              <c:numCache>
                <c:formatCode>0.00</c:formatCode>
                <c:ptCount val="11"/>
                <c:pt idx="0" formatCode="General">
                  <c:v>0</c:v>
                </c:pt>
                <c:pt idx="1">
                  <c:v>5.8302238805970137E-2</c:v>
                </c:pt>
                <c:pt idx="2">
                  <c:v>0.16023200324906076</c:v>
                </c:pt>
                <c:pt idx="3">
                  <c:v>0.41811034115138579</c:v>
                </c:pt>
                <c:pt idx="4">
                  <c:v>1.3067104951433308</c:v>
                </c:pt>
                <c:pt idx="5">
                  <c:v>2.280265339966832</c:v>
                </c:pt>
                <c:pt idx="6">
                  <c:v>3.1118324195349771</c:v>
                </c:pt>
                <c:pt idx="7">
                  <c:v>3.2072180551324996</c:v>
                </c:pt>
                <c:pt idx="8">
                  <c:v>3.0608014350018613</c:v>
                </c:pt>
                <c:pt idx="9">
                  <c:v>2.5288100314752766</c:v>
                </c:pt>
                <c:pt idx="10">
                  <c:v>2.6023158019426673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6A-BD4B-B407-70CC2FF6F685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'gauaia after reconst'!$O$3:$O$103</c:f>
              <c:numCache>
                <c:formatCode>General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'gauaia after reconst'!$P$3:$P$103</c:f>
              <c:numCache>
                <c:formatCode>0.00</c:formatCode>
                <c:ptCount val="101"/>
                <c:pt idx="0" formatCode="General">
                  <c:v>0</c:v>
                </c:pt>
                <c:pt idx="1">
                  <c:v>0.70200135685210319</c:v>
                </c:pt>
                <c:pt idx="2">
                  <c:v>1.2004060324825987</c:v>
                </c:pt>
                <c:pt idx="3">
                  <c:v>1.5725683890577509</c:v>
                </c:pt>
                <c:pt idx="4">
                  <c:v>1.8610611510791371</c:v>
                </c:pt>
                <c:pt idx="5">
                  <c:v>2.0912489894907034</c:v>
                </c:pt>
                <c:pt idx="6">
                  <c:v>2.2791850220264318</c:v>
                </c:pt>
                <c:pt idx="7">
                  <c:v>2.4355245460659045</c:v>
                </c:pt>
                <c:pt idx="8">
                  <c:v>2.5676178660049631</c:v>
                </c:pt>
                <c:pt idx="9">
                  <c:v>2.6806994818652852</c:v>
                </c:pt>
                <c:pt idx="10">
                  <c:v>2.7785982814178301</c:v>
                </c:pt>
                <c:pt idx="11">
                  <c:v>2.8641796678409661</c:v>
                </c:pt>
                <c:pt idx="12">
                  <c:v>2.9396306818181821</c:v>
                </c:pt>
                <c:pt idx="13">
                  <c:v>3.0066495306213681</c:v>
                </c:pt>
                <c:pt idx="14">
                  <c:v>3.0665749364944963</c:v>
                </c:pt>
                <c:pt idx="15">
                  <c:v>3.1204764776839569</c:v>
                </c:pt>
                <c:pt idx="16">
                  <c:v>3.1692189892802451</c:v>
                </c:pt>
                <c:pt idx="17">
                  <c:v>3.2135093167701867</c:v>
                </c:pt>
                <c:pt idx="18">
                  <c:v>3.2539308176100632</c:v>
                </c:pt>
                <c:pt idx="19">
                  <c:v>3.2909691998660868</c:v>
                </c:pt>
                <c:pt idx="20">
                  <c:v>3.3250321336760931</c:v>
                </c:pt>
                <c:pt idx="21">
                  <c:v>3.3564643188137167</c:v>
                </c:pt>
                <c:pt idx="22">
                  <c:v>3.385559190957764</c:v>
                </c:pt>
                <c:pt idx="23">
                  <c:v>3.4125681101233161</c:v>
                </c:pt>
                <c:pt idx="24">
                  <c:v>3.4377076411960137</c:v>
                </c:pt>
                <c:pt idx="25">
                  <c:v>3.4611653732940866</c:v>
                </c:pt>
                <c:pt idx="26">
                  <c:v>3.4831046090108759</c:v>
                </c:pt>
                <c:pt idx="27">
                  <c:v>3.5036681715575626</c:v>
                </c:pt>
                <c:pt idx="28">
                  <c:v>3.5229815175097281</c:v>
                </c:pt>
                <c:pt idx="29">
                  <c:v>3.5411552985603025</c:v>
                </c:pt>
                <c:pt idx="30">
                  <c:v>3.5582874828060529</c:v>
                </c:pt>
                <c:pt idx="31">
                  <c:v>3.5744651214620022</c:v>
                </c:pt>
                <c:pt idx="32">
                  <c:v>3.5897658282740683</c:v>
                </c:pt>
                <c:pt idx="33">
                  <c:v>3.6042590246991772</c:v>
                </c:pt>
                <c:pt idx="34">
                  <c:v>3.6180069930069938</c:v>
                </c:pt>
                <c:pt idx="35">
                  <c:v>3.6310657710046126</c:v>
                </c:pt>
                <c:pt idx="36">
                  <c:v>3.6434859154929584</c:v>
                </c:pt>
                <c:pt idx="37">
                  <c:v>3.6553131563872445</c:v>
                </c:pt>
                <c:pt idx="38">
                  <c:v>3.6665889593435295</c:v>
                </c:pt>
                <c:pt idx="39">
                  <c:v>3.6773510114816843</c:v>
                </c:pt>
                <c:pt idx="40">
                  <c:v>3.687633642195296</c:v>
                </c:pt>
                <c:pt idx="41">
                  <c:v>3.6974681889489278</c:v>
                </c:pt>
                <c:pt idx="42">
                  <c:v>3.7068833162743089</c:v>
                </c:pt>
                <c:pt idx="43">
                  <c:v>3.7159052948054114</c:v>
                </c:pt>
                <c:pt idx="44">
                  <c:v>3.7245582460732987</c:v>
                </c:pt>
                <c:pt idx="45">
                  <c:v>3.7328643578643583</c:v>
                </c:pt>
                <c:pt idx="46">
                  <c:v>3.7408440741905062</c:v>
                </c:pt>
                <c:pt idx="47">
                  <c:v>3.7485162632958224</c:v>
                </c:pt>
                <c:pt idx="48">
                  <c:v>3.7558983666061705</c:v>
                </c:pt>
                <c:pt idx="49">
                  <c:v>3.7630065310969272</c:v>
                </c:pt>
                <c:pt idx="50">
                  <c:v>3.7698557271932378</c:v>
                </c:pt>
                <c:pt idx="51">
                  <c:v>3.7764598540145982</c:v>
                </c:pt>
                <c:pt idx="52">
                  <c:v>3.7828318335208095</c:v>
                </c:pt>
                <c:pt idx="53">
                  <c:v>3.7889836949012023</c:v>
                </c:pt>
                <c:pt idx="54">
                  <c:v>3.7949266503667483</c:v>
                </c:pt>
                <c:pt idx="55">
                  <c:v>3.8006711633498065</c:v>
                </c:pt>
                <c:pt idx="56">
                  <c:v>3.8062270099842355</c:v>
                </c:pt>
                <c:pt idx="57">
                  <c:v>3.8116033346258238</c:v>
                </c:pt>
                <c:pt idx="58">
                  <c:v>3.8168087000763165</c:v>
                </c:pt>
                <c:pt idx="59">
                  <c:v>3.8218511330912732</c:v>
                </c:pt>
                <c:pt idx="60">
                  <c:v>3.8267381656804731</c:v>
                </c:pt>
                <c:pt idx="61">
                  <c:v>3.8314768726478081</c:v>
                </c:pt>
                <c:pt idx="62">
                  <c:v>3.8360739057641715</c:v>
                </c:pt>
                <c:pt idx="63">
                  <c:v>3.8405355249204667</c:v>
                </c:pt>
                <c:pt idx="64">
                  <c:v>3.8448676265675799</c:v>
                </c:pt>
                <c:pt idx="65">
                  <c:v>3.8490757697150051</c:v>
                </c:pt>
                <c:pt idx="66">
                  <c:v>3.8531651997291805</c:v>
                </c:pt>
                <c:pt idx="67">
                  <c:v>3.8571408701457659</c:v>
                </c:pt>
                <c:pt idx="68">
                  <c:v>3.8610074626865667</c:v>
                </c:pt>
                <c:pt idx="69">
                  <c:v>3.864769405651185</c:v>
                </c:pt>
                <c:pt idx="70">
                  <c:v>3.8684308908352913</c:v>
                </c:pt>
                <c:pt idx="71">
                  <c:v>3.8719958891114157</c:v>
                </c:pt>
                <c:pt idx="72">
                  <c:v>3.8754681647940075</c:v>
                </c:pt>
                <c:pt idx="73">
                  <c:v>3.8788512888980176</c:v>
                </c:pt>
                <c:pt idx="74">
                  <c:v>3.8821486513891705</c:v>
                </c:pt>
                <c:pt idx="75">
                  <c:v>3.8853634725142685</c:v>
                </c:pt>
                <c:pt idx="76">
                  <c:v>3.8884988132911396</c:v>
                </c:pt>
                <c:pt idx="77">
                  <c:v>3.8915575852300481</c:v>
                </c:pt>
                <c:pt idx="78">
                  <c:v>3.8945425593514771</c:v>
                </c:pt>
                <c:pt idx="79">
                  <c:v>3.8974563745589781</c:v>
                </c:pt>
                <c:pt idx="80">
                  <c:v>3.9003015454202794</c:v>
                </c:pt>
                <c:pt idx="81">
                  <c:v>3.9030804694048622</c:v>
                </c:pt>
                <c:pt idx="82">
                  <c:v>3.905795433621801</c:v>
                </c:pt>
                <c:pt idx="83">
                  <c:v>3.9084486210976612</c:v>
                </c:pt>
                <c:pt idx="84">
                  <c:v>3.9110421166306697</c:v>
                </c:pt>
                <c:pt idx="85">
                  <c:v>3.9135779122541603</c:v>
                </c:pt>
                <c:pt idx="86">
                  <c:v>3.9160579123393768</c:v>
                </c:pt>
                <c:pt idx="87">
                  <c:v>3.9184839383651084</c:v>
                </c:pt>
                <c:pt idx="88">
                  <c:v>3.9208577333792629</c:v>
                </c:pt>
                <c:pt idx="89">
                  <c:v>3.9231809661753427</c:v>
                </c:pt>
                <c:pt idx="90">
                  <c:v>3.925455235204856</c:v>
                </c:pt>
                <c:pt idx="91">
                  <c:v>3.9276820722449317</c:v>
                </c:pt>
                <c:pt idx="92">
                  <c:v>3.9298629458388374</c:v>
                </c:pt>
                <c:pt idx="93">
                  <c:v>3.931999264525619</c:v>
                </c:pt>
                <c:pt idx="94">
                  <c:v>3.9340923798738072</c:v>
                </c:pt>
                <c:pt idx="95">
                  <c:v>3.9361435893329064</c:v>
                </c:pt>
                <c:pt idx="96">
                  <c:v>3.9381541389153192</c:v>
                </c:pt>
                <c:pt idx="97">
                  <c:v>3.9401252257203425</c:v>
                </c:pt>
                <c:pt idx="98">
                  <c:v>3.9420580003109937</c:v>
                </c:pt>
                <c:pt idx="99">
                  <c:v>3.9439535689535692</c:v>
                </c:pt>
                <c:pt idx="100">
                  <c:v>3.9458129957291033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6A-BD4B-B407-70CC2FF6F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618143"/>
        <c:axId val="999619791"/>
      </c:scatterChart>
      <c:valAx>
        <c:axId val="999618143"/>
        <c:scaling>
          <c:orientation val="minMax"/>
          <c:max val="2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H2O2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99619791"/>
        <c:crosses val="autoZero"/>
        <c:crossBetween val="midCat"/>
      </c:valAx>
      <c:valAx>
        <c:axId val="99961979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specific activity [mmol l-1 mg-1 min-1]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99618143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'guaia after reconst 2'!$N$3:$N$13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1.5179946456500832E-2</c:v>
                  </c:pt>
                  <c:pt idx="2">
                    <c:v>8.4279799189158622E-3</c:v>
                  </c:pt>
                  <c:pt idx="3">
                    <c:v>4.4085831473301688E-2</c:v>
                  </c:pt>
                  <c:pt idx="4">
                    <c:v>1.6525049065894637E-2</c:v>
                  </c:pt>
                  <c:pt idx="5">
                    <c:v>7.9241646897359394E-2</c:v>
                  </c:pt>
                  <c:pt idx="6">
                    <c:v>5.5836021188594834E-2</c:v>
                  </c:pt>
                  <c:pt idx="7">
                    <c:v>0.18528731445765895</c:v>
                  </c:pt>
                  <c:pt idx="8">
                    <c:v>0.22412228298173026</c:v>
                  </c:pt>
                  <c:pt idx="9">
                    <c:v>3.966138694283694E-2</c:v>
                  </c:pt>
                  <c:pt idx="10">
                    <c:v>4.9180119809117517E-2</c:v>
                  </c:pt>
                </c:numCache>
              </c:numRef>
            </c:plus>
            <c:minus>
              <c:numRef>
                <c:f>'guaia after reconst 2'!$N$3:$N$13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1.5179946456500832E-2</c:v>
                  </c:pt>
                  <c:pt idx="2">
                    <c:v>8.4279799189158622E-3</c:v>
                  </c:pt>
                  <c:pt idx="3">
                    <c:v>4.4085831473301688E-2</c:v>
                  </c:pt>
                  <c:pt idx="4">
                    <c:v>1.6525049065894637E-2</c:v>
                  </c:pt>
                  <c:pt idx="5">
                    <c:v>7.9241646897359394E-2</c:v>
                  </c:pt>
                  <c:pt idx="6">
                    <c:v>5.5836021188594834E-2</c:v>
                  </c:pt>
                  <c:pt idx="7">
                    <c:v>0.18528731445765895</c:v>
                  </c:pt>
                  <c:pt idx="8">
                    <c:v>0.22412228298173026</c:v>
                  </c:pt>
                  <c:pt idx="9">
                    <c:v>3.966138694283694E-2</c:v>
                  </c:pt>
                  <c:pt idx="10">
                    <c:v>4.9180119809117517E-2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'guaia after reconst 2'!$L$3:$L$13</c:f>
              <c:numCache>
                <c:formatCode>0.00</c:formatCode>
                <c:ptCount val="1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0.25</c:v>
                </c:pt>
                <c:pt idx="5">
                  <c:v>0.5</c:v>
                </c:pt>
                <c:pt idx="6">
                  <c:v>1</c:v>
                </c:pt>
                <c:pt idx="7">
                  <c:v>2.5</c:v>
                </c:pt>
                <c:pt idx="8">
                  <c:v>5</c:v>
                </c:pt>
                <c:pt idx="9">
                  <c:v>7.5</c:v>
                </c:pt>
                <c:pt idx="10">
                  <c:v>10</c:v>
                </c:pt>
              </c:numCache>
            </c:numRef>
          </c:xVal>
          <c:yVal>
            <c:numRef>
              <c:f>'guaia after reconst 2'!$M$3:$M$13</c:f>
              <c:numCache>
                <c:formatCode>0.00</c:formatCode>
                <c:ptCount val="11"/>
                <c:pt idx="0">
                  <c:v>0</c:v>
                </c:pt>
                <c:pt idx="1">
                  <c:v>0.10047551358851997</c:v>
                </c:pt>
                <c:pt idx="2">
                  <c:v>0.16763546214505701</c:v>
                </c:pt>
                <c:pt idx="3">
                  <c:v>0.46112972552204951</c:v>
                </c:pt>
                <c:pt idx="4">
                  <c:v>1.2235537871865161</c:v>
                </c:pt>
                <c:pt idx="5">
                  <c:v>2.0888330456560724</c:v>
                </c:pt>
                <c:pt idx="6">
                  <c:v>2.2432480454868506</c:v>
                </c:pt>
                <c:pt idx="7">
                  <c:v>3.2776170169560355</c:v>
                </c:pt>
                <c:pt idx="8">
                  <c:v>2.5010470606152904</c:v>
                </c:pt>
                <c:pt idx="9">
                  <c:v>2.0195578231292508</c:v>
                </c:pt>
                <c:pt idx="10">
                  <c:v>2.2051731140217274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23-0F44-8769-0E86B6F51C6A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'guaia after reconst 2'!$P$4:$P$104</c:f>
              <c:numCache>
                <c:formatCode>0.00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 formatCode="General">
                  <c:v>2.9000000000000012</c:v>
                </c:pt>
                <c:pt idx="30" formatCode="General">
                  <c:v>3.0000000000000013</c:v>
                </c:pt>
                <c:pt idx="31" formatCode="General">
                  <c:v>3.1000000000000014</c:v>
                </c:pt>
                <c:pt idx="32" formatCode="General">
                  <c:v>3.2000000000000015</c:v>
                </c:pt>
                <c:pt idx="33" formatCode="General">
                  <c:v>3.3000000000000016</c:v>
                </c:pt>
                <c:pt idx="34" formatCode="General">
                  <c:v>3.4000000000000017</c:v>
                </c:pt>
                <c:pt idx="35" formatCode="General">
                  <c:v>3.5000000000000018</c:v>
                </c:pt>
                <c:pt idx="36" formatCode="General">
                  <c:v>3.6000000000000019</c:v>
                </c:pt>
                <c:pt idx="37" formatCode="General">
                  <c:v>3.700000000000002</c:v>
                </c:pt>
                <c:pt idx="38" formatCode="General">
                  <c:v>3.800000000000002</c:v>
                </c:pt>
                <c:pt idx="39" formatCode="General">
                  <c:v>3.9000000000000021</c:v>
                </c:pt>
                <c:pt idx="40" formatCode="General">
                  <c:v>4.0000000000000018</c:v>
                </c:pt>
                <c:pt idx="41" formatCode="General">
                  <c:v>4.1000000000000014</c:v>
                </c:pt>
                <c:pt idx="42" formatCode="General">
                  <c:v>4.2000000000000011</c:v>
                </c:pt>
                <c:pt idx="43" formatCode="General">
                  <c:v>4.3000000000000007</c:v>
                </c:pt>
                <c:pt idx="44" formatCode="General">
                  <c:v>4.4000000000000004</c:v>
                </c:pt>
                <c:pt idx="45" formatCode="General">
                  <c:v>4.5</c:v>
                </c:pt>
                <c:pt idx="46" formatCode="General">
                  <c:v>4.5999999999999996</c:v>
                </c:pt>
                <c:pt idx="47" formatCode="General">
                  <c:v>4.6999999999999993</c:v>
                </c:pt>
                <c:pt idx="48" formatCode="General">
                  <c:v>4.7999999999999989</c:v>
                </c:pt>
                <c:pt idx="49" formatCode="General">
                  <c:v>4.8999999999999986</c:v>
                </c:pt>
                <c:pt idx="50" formatCode="General">
                  <c:v>4.9999999999999982</c:v>
                </c:pt>
                <c:pt idx="51" formatCode="General">
                  <c:v>5.0999999999999979</c:v>
                </c:pt>
                <c:pt idx="52" formatCode="General">
                  <c:v>5.1999999999999975</c:v>
                </c:pt>
                <c:pt idx="53" formatCode="General">
                  <c:v>5.2999999999999972</c:v>
                </c:pt>
                <c:pt idx="54" formatCode="General">
                  <c:v>5.3999999999999968</c:v>
                </c:pt>
                <c:pt idx="55" formatCode="General">
                  <c:v>5.4999999999999964</c:v>
                </c:pt>
                <c:pt idx="56" formatCode="General">
                  <c:v>5.5999999999999961</c:v>
                </c:pt>
                <c:pt idx="57" formatCode="General">
                  <c:v>5.6999999999999957</c:v>
                </c:pt>
                <c:pt idx="58" formatCode="General">
                  <c:v>5.7999999999999954</c:v>
                </c:pt>
                <c:pt idx="59" formatCode="General">
                  <c:v>5.899999999999995</c:v>
                </c:pt>
                <c:pt idx="60" formatCode="General">
                  <c:v>5.9999999999999947</c:v>
                </c:pt>
                <c:pt idx="61" formatCode="General">
                  <c:v>6.0999999999999943</c:v>
                </c:pt>
                <c:pt idx="62" formatCode="General">
                  <c:v>6.199999999999994</c:v>
                </c:pt>
                <c:pt idx="63" formatCode="General">
                  <c:v>6.2999999999999936</c:v>
                </c:pt>
                <c:pt idx="64" formatCode="General">
                  <c:v>6.3999999999999932</c:v>
                </c:pt>
                <c:pt idx="65" formatCode="General">
                  <c:v>6.4999999999999929</c:v>
                </c:pt>
                <c:pt idx="66" formatCode="General">
                  <c:v>6.5999999999999925</c:v>
                </c:pt>
                <c:pt idx="67" formatCode="General">
                  <c:v>6.6999999999999922</c:v>
                </c:pt>
                <c:pt idx="68" formatCode="General">
                  <c:v>6.7999999999999918</c:v>
                </c:pt>
                <c:pt idx="69" formatCode="General">
                  <c:v>6.8999999999999915</c:v>
                </c:pt>
                <c:pt idx="70" formatCode="General">
                  <c:v>6.9999999999999911</c:v>
                </c:pt>
                <c:pt idx="71" formatCode="General">
                  <c:v>7.0999999999999908</c:v>
                </c:pt>
                <c:pt idx="72" formatCode="General">
                  <c:v>7.1999999999999904</c:v>
                </c:pt>
                <c:pt idx="73" formatCode="General">
                  <c:v>7.2999999999999901</c:v>
                </c:pt>
                <c:pt idx="74" formatCode="General">
                  <c:v>7.3999999999999897</c:v>
                </c:pt>
                <c:pt idx="75" formatCode="General">
                  <c:v>7.4999999999999893</c:v>
                </c:pt>
                <c:pt idx="76" formatCode="General">
                  <c:v>7.599999999999989</c:v>
                </c:pt>
                <c:pt idx="77" formatCode="General">
                  <c:v>7.6999999999999886</c:v>
                </c:pt>
                <c:pt idx="78" formatCode="General">
                  <c:v>7.7999999999999883</c:v>
                </c:pt>
                <c:pt idx="79" formatCode="General">
                  <c:v>7.8999999999999879</c:v>
                </c:pt>
                <c:pt idx="80" formatCode="General">
                  <c:v>7.9999999999999876</c:v>
                </c:pt>
                <c:pt idx="81" formatCode="General">
                  <c:v>8.0999999999999872</c:v>
                </c:pt>
                <c:pt idx="82" formatCode="General">
                  <c:v>8.1999999999999869</c:v>
                </c:pt>
                <c:pt idx="83" formatCode="General">
                  <c:v>8.2999999999999865</c:v>
                </c:pt>
                <c:pt idx="84" formatCode="General">
                  <c:v>8.3999999999999861</c:v>
                </c:pt>
                <c:pt idx="85" formatCode="General">
                  <c:v>8.4999999999999858</c:v>
                </c:pt>
                <c:pt idx="86" formatCode="General">
                  <c:v>8.5999999999999854</c:v>
                </c:pt>
                <c:pt idx="87" formatCode="General">
                  <c:v>8.6999999999999851</c:v>
                </c:pt>
                <c:pt idx="88" formatCode="General">
                  <c:v>8.7999999999999847</c:v>
                </c:pt>
                <c:pt idx="89" formatCode="General">
                  <c:v>8.8999999999999844</c:v>
                </c:pt>
                <c:pt idx="90" formatCode="General">
                  <c:v>8.999999999999984</c:v>
                </c:pt>
                <c:pt idx="91" formatCode="General">
                  <c:v>9.0999999999999837</c:v>
                </c:pt>
                <c:pt idx="92" formatCode="General">
                  <c:v>9.1999999999999833</c:v>
                </c:pt>
                <c:pt idx="93" formatCode="General">
                  <c:v>9.2999999999999829</c:v>
                </c:pt>
                <c:pt idx="94" formatCode="General">
                  <c:v>9.3999999999999826</c:v>
                </c:pt>
                <c:pt idx="95" formatCode="General">
                  <c:v>9.4999999999999822</c:v>
                </c:pt>
                <c:pt idx="96" formatCode="General">
                  <c:v>9.5999999999999819</c:v>
                </c:pt>
                <c:pt idx="97" formatCode="General">
                  <c:v>9.6999999999999815</c:v>
                </c:pt>
                <c:pt idx="98" formatCode="General">
                  <c:v>9.7999999999999812</c:v>
                </c:pt>
                <c:pt idx="99" formatCode="General">
                  <c:v>9.8999999999999808</c:v>
                </c:pt>
                <c:pt idx="100" formatCode="General">
                  <c:v>9.9999999999999805</c:v>
                </c:pt>
              </c:numCache>
            </c:numRef>
          </c:xVal>
          <c:yVal>
            <c:numRef>
              <c:f>'guaia after reconst 2'!$Q$4:$Q$104</c:f>
              <c:numCache>
                <c:formatCode>0.00</c:formatCode>
                <c:ptCount val="101"/>
                <c:pt idx="0">
                  <c:v>0</c:v>
                </c:pt>
                <c:pt idx="1">
                  <c:v>0.60839160839160844</c:v>
                </c:pt>
                <c:pt idx="2">
                  <c:v>1.0591892241937573</c:v>
                </c:pt>
                <c:pt idx="3">
                  <c:v>1.4066047471620229</c:v>
                </c:pt>
                <c:pt idx="4">
                  <c:v>1.6825429482563523</c:v>
                </c:pt>
                <c:pt idx="5">
                  <c:v>1.9070049435686971</c:v>
                </c:pt>
                <c:pt idx="6">
                  <c:v>2.0931661121064757</c:v>
                </c:pt>
                <c:pt idx="7">
                  <c:v>2.2500589576291175</c:v>
                </c:pt>
                <c:pt idx="8">
                  <c:v>2.3840827927993584</c:v>
                </c:pt>
                <c:pt idx="9">
                  <c:v>2.4998981047483189</c:v>
                </c:pt>
                <c:pt idx="10">
                  <c:v>2.6009795814515617</c:v>
                </c:pt>
                <c:pt idx="11">
                  <c:v>2.6899706955325637</c:v>
                </c:pt>
                <c:pt idx="12">
                  <c:v>2.7689182326053836</c:v>
                </c:pt>
                <c:pt idx="13">
                  <c:v>2.8394316542919715</c:v>
                </c:pt>
                <c:pt idx="14">
                  <c:v>2.9027939759647081</c:v>
                </c:pt>
                <c:pt idx="15">
                  <c:v>2.9600405385840456</c:v>
                </c:pt>
                <c:pt idx="16">
                  <c:v>3.0120160213618159</c:v>
                </c:pt>
                <c:pt idx="17">
                  <c:v>3.0594163989261043</c:v>
                </c:pt>
                <c:pt idx="18">
                  <c:v>3.102820285822689</c:v>
                </c:pt>
                <c:pt idx="19">
                  <c:v>3.1427126734355411</c:v>
                </c:pt>
                <c:pt idx="20">
                  <c:v>3.1795031297383463</c:v>
                </c:pt>
                <c:pt idx="21">
                  <c:v>3.2135399124284278</c:v>
                </c:pt>
                <c:pt idx="22">
                  <c:v>3.2451210273799647</c:v>
                </c:pt>
                <c:pt idx="23">
                  <c:v>3.274502976915846</c:v>
                </c:pt>
                <c:pt idx="24">
                  <c:v>3.3019077420006058</c:v>
                </c:pt>
                <c:pt idx="25">
                  <c:v>3.3275284007682053</c:v>
                </c:pt>
                <c:pt idx="26">
                  <c:v>3.3515336843100787</c:v>
                </c:pt>
                <c:pt idx="27">
                  <c:v>3.3740716970752733</c:v>
                </c:pt>
                <c:pt idx="28">
                  <c:v>3.395272975297293</c:v>
                </c:pt>
                <c:pt idx="29">
                  <c:v>3.4152530169061959</c:v>
                </c:pt>
                <c:pt idx="30">
                  <c:v>3.434114386495339</c:v>
                </c:pt>
                <c:pt idx="31">
                  <c:v>3.4519484763486843</c:v>
                </c:pt>
                <c:pt idx="32">
                  <c:v>3.4688369873545239</c:v>
                </c:pt>
                <c:pt idx="33">
                  <c:v>3.4848531804447207</c:v>
                </c:pt>
                <c:pt idx="34">
                  <c:v>3.5000629389995219</c:v>
                </c:pt>
                <c:pt idx="35">
                  <c:v>3.514525674713294</c:v>
                </c:pt>
                <c:pt idx="36">
                  <c:v>3.5282951031854464</c:v>
                </c:pt>
                <c:pt idx="37">
                  <c:v>3.5414199105826181</c:v>
                </c:pt>
                <c:pt idx="38">
                  <c:v>3.5539443288122419</c:v>
                </c:pt>
                <c:pt idx="39">
                  <c:v>3.5659086335278736</c:v>
                </c:pt>
                <c:pt idx="40">
                  <c:v>3.5773495767809109</c:v>
                </c:pt>
                <c:pt idx="41">
                  <c:v>3.5883007641103579</c:v>
                </c:pt>
                <c:pt idx="42">
                  <c:v>3.598792984220784</c:v>
                </c:pt>
                <c:pt idx="43">
                  <c:v>3.6088544980603854</c:v>
                </c:pt>
                <c:pt idx="44">
                  <c:v>3.6185112930150241</c:v>
                </c:pt>
                <c:pt idx="45">
                  <c:v>3.6277873070325906</c:v>
                </c:pt>
                <c:pt idx="46">
                  <c:v>3.6367046267473566</c:v>
                </c:pt>
                <c:pt idx="47">
                  <c:v>3.6452836630564676</c:v>
                </c:pt>
                <c:pt idx="48">
                  <c:v>3.6535433070866148</c:v>
                </c:pt>
                <c:pt idx="49">
                  <c:v>3.661501069059411</c:v>
                </c:pt>
                <c:pt idx="50">
                  <c:v>3.669173202203837</c:v>
                </c:pt>
                <c:pt idx="51">
                  <c:v>3.6765748135611149</c:v>
                </c:pt>
                <c:pt idx="52">
                  <c:v>3.6837199632715998</c:v>
                </c:pt>
                <c:pt idx="53">
                  <c:v>3.6906217537167287</c:v>
                </c:pt>
                <c:pt idx="54">
                  <c:v>3.6972924097051294</c:v>
                </c:pt>
                <c:pt idx="55">
                  <c:v>3.7037433507353308</c:v>
                </c:pt>
                <c:pt idx="56">
                  <c:v>3.7099852562336975</c:v>
                </c:pt>
                <c:pt idx="57">
                  <c:v>3.7160281245515856</c:v>
                </c:pt>
                <c:pt idx="58">
                  <c:v>3.7218813264073072</c:v>
                </c:pt>
                <c:pt idx="59">
                  <c:v>3.7275536533737119</c:v>
                </c:pt>
                <c:pt idx="60">
                  <c:v>3.7330533619391066</c:v>
                </c:pt>
                <c:pt idx="61">
                  <c:v>3.7383882136059117</c:v>
                </c:pt>
                <c:pt idx="62">
                  <c:v>3.7435655114366302</c:v>
                </c:pt>
                <c:pt idx="63">
                  <c:v>3.7485921334090015</c:v>
                </c:pt>
                <c:pt idx="64">
                  <c:v>3.7534745629007045</c:v>
                </c:pt>
                <c:pt idx="65">
                  <c:v>3.758218916587718</c:v>
                </c:pt>
                <c:pt idx="66">
                  <c:v>3.7628309700087841</c:v>
                </c:pt>
                <c:pt idx="67">
                  <c:v>3.7673161810206133</c:v>
                </c:pt>
                <c:pt idx="68">
                  <c:v>3.7716797113441221</c:v>
                </c:pt>
                <c:pt idx="69">
                  <c:v>3.7759264463805353</c:v>
                </c:pt>
                <c:pt idx="70">
                  <c:v>3.7800610134572969</c:v>
                </c:pt>
                <c:pt idx="71">
                  <c:v>3.7840877986470458</c:v>
                </c:pt>
                <c:pt idx="72">
                  <c:v>3.7880109622881846</c:v>
                </c:pt>
                <c:pt idx="73">
                  <c:v>3.7918344533224935</c:v>
                </c:pt>
                <c:pt idx="74">
                  <c:v>3.7955620225536562</c:v>
                </c:pt>
                <c:pt idx="75">
                  <c:v>3.7991972349202805</c:v>
                </c:pt>
                <c:pt idx="76">
                  <c:v>3.8027434808678304</c:v>
                </c:pt>
                <c:pt idx="77">
                  <c:v>3.8062039868957092</c:v>
                </c:pt>
                <c:pt idx="78">
                  <c:v>3.8095818253484786</c:v>
                </c:pt>
                <c:pt idx="79">
                  <c:v>3.8128799235136501</c:v>
                </c:pt>
                <c:pt idx="80">
                  <c:v>3.8161010720826867</c:v>
                </c:pt>
                <c:pt idx="81">
                  <c:v>3.819247933026602</c:v>
                </c:pt>
                <c:pt idx="82">
                  <c:v>3.8223230469328895</c:v>
                </c:pt>
                <c:pt idx="83">
                  <c:v>3.825328839846259</c:v>
                </c:pt>
                <c:pt idx="84">
                  <c:v>3.8282676296519211</c:v>
                </c:pt>
                <c:pt idx="85">
                  <c:v>3.8311416320366836</c:v>
                </c:pt>
                <c:pt idx="86">
                  <c:v>3.8339529660601164</c:v>
                </c:pt>
                <c:pt idx="87">
                  <c:v>3.8367036593651922</c:v>
                </c:pt>
                <c:pt idx="88">
                  <c:v>3.8393956530553446</c:v>
                </c:pt>
                <c:pt idx="89">
                  <c:v>3.8420308062626027</c:v>
                </c:pt>
                <c:pt idx="90">
                  <c:v>3.8446109004293727</c:v>
                </c:pt>
                <c:pt idx="91">
                  <c:v>3.8471376433246136</c:v>
                </c:pt>
                <c:pt idx="92">
                  <c:v>3.8496126728134175</c:v>
                </c:pt>
                <c:pt idx="93">
                  <c:v>3.8520375603974832</c:v>
                </c:pt>
                <c:pt idx="94">
                  <c:v>3.8544138145425735</c:v>
                </c:pt>
                <c:pt idx="95">
                  <c:v>3.8567428838077458</c:v>
                </c:pt>
                <c:pt idx="96">
                  <c:v>3.8590261597900137</c:v>
                </c:pt>
                <c:pt idx="97">
                  <c:v>3.8612649798970025</c:v>
                </c:pt>
                <c:pt idx="98">
                  <c:v>3.8634606299592171</c:v>
                </c:pt>
                <c:pt idx="99">
                  <c:v>3.8656143466926403</c:v>
                </c:pt>
                <c:pt idx="100">
                  <c:v>3.8677273200215656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23-0F44-8769-0E86B6F51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023343"/>
        <c:axId val="968785343"/>
      </c:scatterChart>
      <c:valAx>
        <c:axId val="974023343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H2O2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68785343"/>
        <c:crosses val="autoZero"/>
        <c:crossBetween val="midCat"/>
        <c:majorUnit val="2"/>
      </c:valAx>
      <c:valAx>
        <c:axId val="9687853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specific activity [mmol</a:t>
                </a:r>
                <a:r>
                  <a:rPr lang="de-DE" baseline="0">
                    <a:solidFill>
                      <a:schemeClr val="tx1"/>
                    </a:solidFill>
                  </a:rPr>
                  <a:t> l-1 mg-1 min-1]</a:t>
                </a:r>
                <a:endParaRPr lang="de-DE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74023343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'guaia after reconst 2'!$N$3:$N$13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1.5179946456500832E-2</c:v>
                  </c:pt>
                  <c:pt idx="2">
                    <c:v>8.4279799189158622E-3</c:v>
                  </c:pt>
                  <c:pt idx="3">
                    <c:v>4.4085831473301688E-2</c:v>
                  </c:pt>
                  <c:pt idx="4">
                    <c:v>1.6525049065894637E-2</c:v>
                  </c:pt>
                  <c:pt idx="5">
                    <c:v>7.9241646897359394E-2</c:v>
                  </c:pt>
                  <c:pt idx="6">
                    <c:v>5.5836021188594834E-2</c:v>
                  </c:pt>
                  <c:pt idx="7">
                    <c:v>0.18528731445765895</c:v>
                  </c:pt>
                  <c:pt idx="8">
                    <c:v>0.22412228298173026</c:v>
                  </c:pt>
                  <c:pt idx="9">
                    <c:v>3.966138694283694E-2</c:v>
                  </c:pt>
                  <c:pt idx="10">
                    <c:v>4.9180119809117517E-2</c:v>
                  </c:pt>
                </c:numCache>
              </c:numRef>
            </c:plus>
            <c:minus>
              <c:numRef>
                <c:f>'guaia after reconst 2'!$N$3:$N$13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1.5179946456500832E-2</c:v>
                  </c:pt>
                  <c:pt idx="2">
                    <c:v>8.4279799189158622E-3</c:v>
                  </c:pt>
                  <c:pt idx="3">
                    <c:v>4.4085831473301688E-2</c:v>
                  </c:pt>
                  <c:pt idx="4">
                    <c:v>1.6525049065894637E-2</c:v>
                  </c:pt>
                  <c:pt idx="5">
                    <c:v>7.9241646897359394E-2</c:v>
                  </c:pt>
                  <c:pt idx="6">
                    <c:v>5.5836021188594834E-2</c:v>
                  </c:pt>
                  <c:pt idx="7">
                    <c:v>0.18528731445765895</c:v>
                  </c:pt>
                  <c:pt idx="8">
                    <c:v>0.22412228298173026</c:v>
                  </c:pt>
                  <c:pt idx="9">
                    <c:v>3.966138694283694E-2</c:v>
                  </c:pt>
                  <c:pt idx="10">
                    <c:v>4.9180119809117517E-2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'guaia after reconst 2'!$L$3:$L$13</c:f>
              <c:numCache>
                <c:formatCode>0.00</c:formatCode>
                <c:ptCount val="1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0.25</c:v>
                </c:pt>
                <c:pt idx="5">
                  <c:v>0.5</c:v>
                </c:pt>
                <c:pt idx="6">
                  <c:v>1</c:v>
                </c:pt>
                <c:pt idx="7">
                  <c:v>2.5</c:v>
                </c:pt>
                <c:pt idx="8">
                  <c:v>5</c:v>
                </c:pt>
                <c:pt idx="9">
                  <c:v>7.5</c:v>
                </c:pt>
                <c:pt idx="10">
                  <c:v>10</c:v>
                </c:pt>
              </c:numCache>
            </c:numRef>
          </c:xVal>
          <c:yVal>
            <c:numRef>
              <c:f>'guaia after reconst 2'!$M$3:$M$13</c:f>
              <c:numCache>
                <c:formatCode>0.00</c:formatCode>
                <c:ptCount val="11"/>
                <c:pt idx="0">
                  <c:v>0</c:v>
                </c:pt>
                <c:pt idx="1">
                  <c:v>0.10047551358851997</c:v>
                </c:pt>
                <c:pt idx="2">
                  <c:v>0.16763546214505701</c:v>
                </c:pt>
                <c:pt idx="3">
                  <c:v>0.46112972552204951</c:v>
                </c:pt>
                <c:pt idx="4">
                  <c:v>1.2235537871865161</c:v>
                </c:pt>
                <c:pt idx="5">
                  <c:v>2.0888330456560724</c:v>
                </c:pt>
                <c:pt idx="6">
                  <c:v>2.2432480454868506</c:v>
                </c:pt>
                <c:pt idx="7">
                  <c:v>3.2776170169560355</c:v>
                </c:pt>
                <c:pt idx="8">
                  <c:v>2.5010470606152904</c:v>
                </c:pt>
                <c:pt idx="9">
                  <c:v>2.0195578231292508</c:v>
                </c:pt>
                <c:pt idx="10">
                  <c:v>2.2051731140217274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C2-104F-8705-91864A528780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'guaia after reconst 2'!$P$4:$P$104</c:f>
              <c:numCache>
                <c:formatCode>0.00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 formatCode="General">
                  <c:v>2.9000000000000012</c:v>
                </c:pt>
                <c:pt idx="30" formatCode="General">
                  <c:v>3.0000000000000013</c:v>
                </c:pt>
                <c:pt idx="31" formatCode="General">
                  <c:v>3.1000000000000014</c:v>
                </c:pt>
                <c:pt idx="32" formatCode="General">
                  <c:v>3.2000000000000015</c:v>
                </c:pt>
                <c:pt idx="33" formatCode="General">
                  <c:v>3.3000000000000016</c:v>
                </c:pt>
                <c:pt idx="34" formatCode="General">
                  <c:v>3.4000000000000017</c:v>
                </c:pt>
                <c:pt idx="35" formatCode="General">
                  <c:v>3.5000000000000018</c:v>
                </c:pt>
                <c:pt idx="36" formatCode="General">
                  <c:v>3.6000000000000019</c:v>
                </c:pt>
                <c:pt idx="37" formatCode="General">
                  <c:v>3.700000000000002</c:v>
                </c:pt>
                <c:pt idx="38" formatCode="General">
                  <c:v>3.800000000000002</c:v>
                </c:pt>
                <c:pt idx="39" formatCode="General">
                  <c:v>3.9000000000000021</c:v>
                </c:pt>
                <c:pt idx="40" formatCode="General">
                  <c:v>4.0000000000000018</c:v>
                </c:pt>
                <c:pt idx="41" formatCode="General">
                  <c:v>4.1000000000000014</c:v>
                </c:pt>
                <c:pt idx="42" formatCode="General">
                  <c:v>4.2000000000000011</c:v>
                </c:pt>
                <c:pt idx="43" formatCode="General">
                  <c:v>4.3000000000000007</c:v>
                </c:pt>
                <c:pt idx="44" formatCode="General">
                  <c:v>4.4000000000000004</c:v>
                </c:pt>
                <c:pt idx="45" formatCode="General">
                  <c:v>4.5</c:v>
                </c:pt>
                <c:pt idx="46" formatCode="General">
                  <c:v>4.5999999999999996</c:v>
                </c:pt>
                <c:pt idx="47" formatCode="General">
                  <c:v>4.6999999999999993</c:v>
                </c:pt>
                <c:pt idx="48" formatCode="General">
                  <c:v>4.7999999999999989</c:v>
                </c:pt>
                <c:pt idx="49" formatCode="General">
                  <c:v>4.8999999999999986</c:v>
                </c:pt>
                <c:pt idx="50" formatCode="General">
                  <c:v>4.9999999999999982</c:v>
                </c:pt>
                <c:pt idx="51" formatCode="General">
                  <c:v>5.0999999999999979</c:v>
                </c:pt>
                <c:pt idx="52" formatCode="General">
                  <c:v>5.1999999999999975</c:v>
                </c:pt>
                <c:pt idx="53" formatCode="General">
                  <c:v>5.2999999999999972</c:v>
                </c:pt>
                <c:pt idx="54" formatCode="General">
                  <c:v>5.3999999999999968</c:v>
                </c:pt>
                <c:pt idx="55" formatCode="General">
                  <c:v>5.4999999999999964</c:v>
                </c:pt>
                <c:pt idx="56" formatCode="General">
                  <c:v>5.5999999999999961</c:v>
                </c:pt>
                <c:pt idx="57" formatCode="General">
                  <c:v>5.6999999999999957</c:v>
                </c:pt>
                <c:pt idx="58" formatCode="General">
                  <c:v>5.7999999999999954</c:v>
                </c:pt>
                <c:pt idx="59" formatCode="General">
                  <c:v>5.899999999999995</c:v>
                </c:pt>
                <c:pt idx="60" formatCode="General">
                  <c:v>5.9999999999999947</c:v>
                </c:pt>
                <c:pt idx="61" formatCode="General">
                  <c:v>6.0999999999999943</c:v>
                </c:pt>
                <c:pt idx="62" formatCode="General">
                  <c:v>6.199999999999994</c:v>
                </c:pt>
                <c:pt idx="63" formatCode="General">
                  <c:v>6.2999999999999936</c:v>
                </c:pt>
                <c:pt idx="64" formatCode="General">
                  <c:v>6.3999999999999932</c:v>
                </c:pt>
                <c:pt idx="65" formatCode="General">
                  <c:v>6.4999999999999929</c:v>
                </c:pt>
                <c:pt idx="66" formatCode="General">
                  <c:v>6.5999999999999925</c:v>
                </c:pt>
                <c:pt idx="67" formatCode="General">
                  <c:v>6.6999999999999922</c:v>
                </c:pt>
                <c:pt idx="68" formatCode="General">
                  <c:v>6.7999999999999918</c:v>
                </c:pt>
                <c:pt idx="69" formatCode="General">
                  <c:v>6.8999999999999915</c:v>
                </c:pt>
                <c:pt idx="70" formatCode="General">
                  <c:v>6.9999999999999911</c:v>
                </c:pt>
                <c:pt idx="71" formatCode="General">
                  <c:v>7.0999999999999908</c:v>
                </c:pt>
                <c:pt idx="72" formatCode="General">
                  <c:v>7.1999999999999904</c:v>
                </c:pt>
                <c:pt idx="73" formatCode="General">
                  <c:v>7.2999999999999901</c:v>
                </c:pt>
                <c:pt idx="74" formatCode="General">
                  <c:v>7.3999999999999897</c:v>
                </c:pt>
                <c:pt idx="75" formatCode="General">
                  <c:v>7.4999999999999893</c:v>
                </c:pt>
                <c:pt idx="76" formatCode="General">
                  <c:v>7.599999999999989</c:v>
                </c:pt>
                <c:pt idx="77" formatCode="General">
                  <c:v>7.6999999999999886</c:v>
                </c:pt>
                <c:pt idx="78" formatCode="General">
                  <c:v>7.7999999999999883</c:v>
                </c:pt>
                <c:pt idx="79" formatCode="General">
                  <c:v>7.8999999999999879</c:v>
                </c:pt>
                <c:pt idx="80" formatCode="General">
                  <c:v>7.9999999999999876</c:v>
                </c:pt>
                <c:pt idx="81" formatCode="General">
                  <c:v>8.0999999999999872</c:v>
                </c:pt>
                <c:pt idx="82" formatCode="General">
                  <c:v>8.1999999999999869</c:v>
                </c:pt>
                <c:pt idx="83" formatCode="General">
                  <c:v>8.2999999999999865</c:v>
                </c:pt>
                <c:pt idx="84" formatCode="General">
                  <c:v>8.3999999999999861</c:v>
                </c:pt>
                <c:pt idx="85" formatCode="General">
                  <c:v>8.4999999999999858</c:v>
                </c:pt>
                <c:pt idx="86" formatCode="General">
                  <c:v>8.5999999999999854</c:v>
                </c:pt>
                <c:pt idx="87" formatCode="General">
                  <c:v>8.6999999999999851</c:v>
                </c:pt>
                <c:pt idx="88" formatCode="General">
                  <c:v>8.7999999999999847</c:v>
                </c:pt>
                <c:pt idx="89" formatCode="General">
                  <c:v>8.8999999999999844</c:v>
                </c:pt>
                <c:pt idx="90" formatCode="General">
                  <c:v>8.999999999999984</c:v>
                </c:pt>
                <c:pt idx="91" formatCode="General">
                  <c:v>9.0999999999999837</c:v>
                </c:pt>
                <c:pt idx="92" formatCode="General">
                  <c:v>9.1999999999999833</c:v>
                </c:pt>
                <c:pt idx="93" formatCode="General">
                  <c:v>9.2999999999999829</c:v>
                </c:pt>
                <c:pt idx="94" formatCode="General">
                  <c:v>9.3999999999999826</c:v>
                </c:pt>
                <c:pt idx="95" formatCode="General">
                  <c:v>9.4999999999999822</c:v>
                </c:pt>
                <c:pt idx="96" formatCode="General">
                  <c:v>9.5999999999999819</c:v>
                </c:pt>
                <c:pt idx="97" formatCode="General">
                  <c:v>9.6999999999999815</c:v>
                </c:pt>
                <c:pt idx="98" formatCode="General">
                  <c:v>9.7999999999999812</c:v>
                </c:pt>
                <c:pt idx="99" formatCode="General">
                  <c:v>9.8999999999999808</c:v>
                </c:pt>
                <c:pt idx="100" formatCode="General">
                  <c:v>9.9999999999999805</c:v>
                </c:pt>
              </c:numCache>
            </c:numRef>
          </c:xVal>
          <c:yVal>
            <c:numRef>
              <c:f>'guaia after reconst 2'!$Q$4:$Q$104</c:f>
              <c:numCache>
                <c:formatCode>0.00</c:formatCode>
                <c:ptCount val="101"/>
                <c:pt idx="0">
                  <c:v>0</c:v>
                </c:pt>
                <c:pt idx="1">
                  <c:v>0.60839160839160844</c:v>
                </c:pt>
                <c:pt idx="2">
                  <c:v>1.0591892241937573</c:v>
                </c:pt>
                <c:pt idx="3">
                  <c:v>1.4066047471620229</c:v>
                </c:pt>
                <c:pt idx="4">
                  <c:v>1.6825429482563523</c:v>
                </c:pt>
                <c:pt idx="5">
                  <c:v>1.9070049435686971</c:v>
                </c:pt>
                <c:pt idx="6">
                  <c:v>2.0931661121064757</c:v>
                </c:pt>
                <c:pt idx="7">
                  <c:v>2.2500589576291175</c:v>
                </c:pt>
                <c:pt idx="8">
                  <c:v>2.3840827927993584</c:v>
                </c:pt>
                <c:pt idx="9">
                  <c:v>2.4998981047483189</c:v>
                </c:pt>
                <c:pt idx="10">
                  <c:v>2.6009795814515617</c:v>
                </c:pt>
                <c:pt idx="11">
                  <c:v>2.6899706955325637</c:v>
                </c:pt>
                <c:pt idx="12">
                  <c:v>2.7689182326053836</c:v>
                </c:pt>
                <c:pt idx="13">
                  <c:v>2.8394316542919715</c:v>
                </c:pt>
                <c:pt idx="14">
                  <c:v>2.9027939759647081</c:v>
                </c:pt>
                <c:pt idx="15">
                  <c:v>2.9600405385840456</c:v>
                </c:pt>
                <c:pt idx="16">
                  <c:v>3.0120160213618159</c:v>
                </c:pt>
                <c:pt idx="17">
                  <c:v>3.0594163989261043</c:v>
                </c:pt>
                <c:pt idx="18">
                  <c:v>3.102820285822689</c:v>
                </c:pt>
                <c:pt idx="19">
                  <c:v>3.1427126734355411</c:v>
                </c:pt>
                <c:pt idx="20">
                  <c:v>3.1795031297383463</c:v>
                </c:pt>
                <c:pt idx="21">
                  <c:v>3.2135399124284278</c:v>
                </c:pt>
                <c:pt idx="22">
                  <c:v>3.2451210273799647</c:v>
                </c:pt>
                <c:pt idx="23">
                  <c:v>3.274502976915846</c:v>
                </c:pt>
                <c:pt idx="24">
                  <c:v>3.3019077420006058</c:v>
                </c:pt>
                <c:pt idx="25">
                  <c:v>3.3275284007682053</c:v>
                </c:pt>
                <c:pt idx="26">
                  <c:v>3.3515336843100787</c:v>
                </c:pt>
                <c:pt idx="27">
                  <c:v>3.3740716970752733</c:v>
                </c:pt>
                <c:pt idx="28">
                  <c:v>3.395272975297293</c:v>
                </c:pt>
                <c:pt idx="29">
                  <c:v>3.4152530169061959</c:v>
                </c:pt>
                <c:pt idx="30">
                  <c:v>3.434114386495339</c:v>
                </c:pt>
                <c:pt idx="31">
                  <c:v>3.4519484763486843</c:v>
                </c:pt>
                <c:pt idx="32">
                  <c:v>3.4688369873545239</c:v>
                </c:pt>
                <c:pt idx="33">
                  <c:v>3.4848531804447207</c:v>
                </c:pt>
                <c:pt idx="34">
                  <c:v>3.5000629389995219</c:v>
                </c:pt>
                <c:pt idx="35">
                  <c:v>3.514525674713294</c:v>
                </c:pt>
                <c:pt idx="36">
                  <c:v>3.5282951031854464</c:v>
                </c:pt>
                <c:pt idx="37">
                  <c:v>3.5414199105826181</c:v>
                </c:pt>
                <c:pt idx="38">
                  <c:v>3.5539443288122419</c:v>
                </c:pt>
                <c:pt idx="39">
                  <c:v>3.5659086335278736</c:v>
                </c:pt>
                <c:pt idx="40">
                  <c:v>3.5773495767809109</c:v>
                </c:pt>
                <c:pt idx="41">
                  <c:v>3.5883007641103579</c:v>
                </c:pt>
                <c:pt idx="42">
                  <c:v>3.598792984220784</c:v>
                </c:pt>
                <c:pt idx="43">
                  <c:v>3.6088544980603854</c:v>
                </c:pt>
                <c:pt idx="44">
                  <c:v>3.6185112930150241</c:v>
                </c:pt>
                <c:pt idx="45">
                  <c:v>3.6277873070325906</c:v>
                </c:pt>
                <c:pt idx="46">
                  <c:v>3.6367046267473566</c:v>
                </c:pt>
                <c:pt idx="47">
                  <c:v>3.6452836630564676</c:v>
                </c:pt>
                <c:pt idx="48">
                  <c:v>3.6535433070866148</c:v>
                </c:pt>
                <c:pt idx="49">
                  <c:v>3.661501069059411</c:v>
                </c:pt>
                <c:pt idx="50">
                  <c:v>3.669173202203837</c:v>
                </c:pt>
                <c:pt idx="51">
                  <c:v>3.6765748135611149</c:v>
                </c:pt>
                <c:pt idx="52">
                  <c:v>3.6837199632715998</c:v>
                </c:pt>
                <c:pt idx="53">
                  <c:v>3.6906217537167287</c:v>
                </c:pt>
                <c:pt idx="54">
                  <c:v>3.6972924097051294</c:v>
                </c:pt>
                <c:pt idx="55">
                  <c:v>3.7037433507353308</c:v>
                </c:pt>
                <c:pt idx="56">
                  <c:v>3.7099852562336975</c:v>
                </c:pt>
                <c:pt idx="57">
                  <c:v>3.7160281245515856</c:v>
                </c:pt>
                <c:pt idx="58">
                  <c:v>3.7218813264073072</c:v>
                </c:pt>
                <c:pt idx="59">
                  <c:v>3.7275536533737119</c:v>
                </c:pt>
                <c:pt idx="60">
                  <c:v>3.7330533619391066</c:v>
                </c:pt>
                <c:pt idx="61">
                  <c:v>3.7383882136059117</c:v>
                </c:pt>
                <c:pt idx="62">
                  <c:v>3.7435655114366302</c:v>
                </c:pt>
                <c:pt idx="63">
                  <c:v>3.7485921334090015</c:v>
                </c:pt>
                <c:pt idx="64">
                  <c:v>3.7534745629007045</c:v>
                </c:pt>
                <c:pt idx="65">
                  <c:v>3.758218916587718</c:v>
                </c:pt>
                <c:pt idx="66">
                  <c:v>3.7628309700087841</c:v>
                </c:pt>
                <c:pt idx="67">
                  <c:v>3.7673161810206133</c:v>
                </c:pt>
                <c:pt idx="68">
                  <c:v>3.7716797113441221</c:v>
                </c:pt>
                <c:pt idx="69">
                  <c:v>3.7759264463805353</c:v>
                </c:pt>
                <c:pt idx="70">
                  <c:v>3.7800610134572969</c:v>
                </c:pt>
                <c:pt idx="71">
                  <c:v>3.7840877986470458</c:v>
                </c:pt>
                <c:pt idx="72">
                  <c:v>3.7880109622881846</c:v>
                </c:pt>
                <c:pt idx="73">
                  <c:v>3.7918344533224935</c:v>
                </c:pt>
                <c:pt idx="74">
                  <c:v>3.7955620225536562</c:v>
                </c:pt>
                <c:pt idx="75">
                  <c:v>3.7991972349202805</c:v>
                </c:pt>
                <c:pt idx="76">
                  <c:v>3.8027434808678304</c:v>
                </c:pt>
                <c:pt idx="77">
                  <c:v>3.8062039868957092</c:v>
                </c:pt>
                <c:pt idx="78">
                  <c:v>3.8095818253484786</c:v>
                </c:pt>
                <c:pt idx="79">
                  <c:v>3.8128799235136501</c:v>
                </c:pt>
                <c:pt idx="80">
                  <c:v>3.8161010720826867</c:v>
                </c:pt>
                <c:pt idx="81">
                  <c:v>3.819247933026602</c:v>
                </c:pt>
                <c:pt idx="82">
                  <c:v>3.8223230469328895</c:v>
                </c:pt>
                <c:pt idx="83">
                  <c:v>3.825328839846259</c:v>
                </c:pt>
                <c:pt idx="84">
                  <c:v>3.8282676296519211</c:v>
                </c:pt>
                <c:pt idx="85">
                  <c:v>3.8311416320366836</c:v>
                </c:pt>
                <c:pt idx="86">
                  <c:v>3.8339529660601164</c:v>
                </c:pt>
                <c:pt idx="87">
                  <c:v>3.8367036593651922</c:v>
                </c:pt>
                <c:pt idx="88">
                  <c:v>3.8393956530553446</c:v>
                </c:pt>
                <c:pt idx="89">
                  <c:v>3.8420308062626027</c:v>
                </c:pt>
                <c:pt idx="90">
                  <c:v>3.8446109004293727</c:v>
                </c:pt>
                <c:pt idx="91">
                  <c:v>3.8471376433246136</c:v>
                </c:pt>
                <c:pt idx="92">
                  <c:v>3.8496126728134175</c:v>
                </c:pt>
                <c:pt idx="93">
                  <c:v>3.8520375603974832</c:v>
                </c:pt>
                <c:pt idx="94">
                  <c:v>3.8544138145425735</c:v>
                </c:pt>
                <c:pt idx="95">
                  <c:v>3.8567428838077458</c:v>
                </c:pt>
                <c:pt idx="96">
                  <c:v>3.8590261597900137</c:v>
                </c:pt>
                <c:pt idx="97">
                  <c:v>3.8612649798970025</c:v>
                </c:pt>
                <c:pt idx="98">
                  <c:v>3.8634606299592171</c:v>
                </c:pt>
                <c:pt idx="99">
                  <c:v>3.8656143466926403</c:v>
                </c:pt>
                <c:pt idx="100">
                  <c:v>3.8677273200215656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C2-104F-8705-91864A528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023343"/>
        <c:axId val="968785343"/>
      </c:scatterChart>
      <c:valAx>
        <c:axId val="974023343"/>
        <c:scaling>
          <c:orientation val="minMax"/>
          <c:max val="2.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H2O2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68785343"/>
        <c:crosses val="autoZero"/>
        <c:crossBetween val="midCat"/>
        <c:majorUnit val="0.5"/>
      </c:valAx>
      <c:valAx>
        <c:axId val="9687853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specific activity [mmol</a:t>
                </a:r>
                <a:r>
                  <a:rPr lang="de-DE" baseline="0">
                    <a:solidFill>
                      <a:schemeClr val="tx1"/>
                    </a:solidFill>
                  </a:rPr>
                  <a:t> l-1 mg-1 min-1]</a:t>
                </a:r>
                <a:endParaRPr lang="de-DE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74023343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2">
                  <a:lumMod val="75000"/>
                </a:schemeClr>
              </a:solidFill>
              <a:ln w="9525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Together!$C$4:$C$14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1.1752091257701568E-2</c:v>
                  </c:pt>
                  <c:pt idx="2">
                    <c:v>1.4268303003722943E-2</c:v>
                  </c:pt>
                  <c:pt idx="3">
                    <c:v>6.3064792481765219E-2</c:v>
                  </c:pt>
                  <c:pt idx="4">
                    <c:v>9.6850331407666454E-2</c:v>
                  </c:pt>
                  <c:pt idx="5">
                    <c:v>4.3429218702406458E-2</c:v>
                  </c:pt>
                  <c:pt idx="6">
                    <c:v>0.24510737130673116</c:v>
                  </c:pt>
                  <c:pt idx="7">
                    <c:v>0.17538446879751601</c:v>
                  </c:pt>
                  <c:pt idx="8">
                    <c:v>0.34865785646053743</c:v>
                  </c:pt>
                  <c:pt idx="9">
                    <c:v>0.34334347491427997</c:v>
                  </c:pt>
                  <c:pt idx="10">
                    <c:v>0.22539327371960088</c:v>
                  </c:pt>
                </c:numCache>
              </c:numRef>
            </c:plus>
            <c:minus>
              <c:numRef>
                <c:f>Together!$C$4:$C$14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1.1752091257701568E-2</c:v>
                  </c:pt>
                  <c:pt idx="2">
                    <c:v>1.4268303003722943E-2</c:v>
                  </c:pt>
                  <c:pt idx="3">
                    <c:v>6.3064792481765219E-2</c:v>
                  </c:pt>
                  <c:pt idx="4">
                    <c:v>9.6850331407666454E-2</c:v>
                  </c:pt>
                  <c:pt idx="5">
                    <c:v>4.3429218702406458E-2</c:v>
                  </c:pt>
                  <c:pt idx="6">
                    <c:v>0.24510737130673116</c:v>
                  </c:pt>
                  <c:pt idx="7">
                    <c:v>0.17538446879751601</c:v>
                  </c:pt>
                  <c:pt idx="8">
                    <c:v>0.34865785646053743</c:v>
                  </c:pt>
                  <c:pt idx="9">
                    <c:v>0.34334347491427997</c:v>
                  </c:pt>
                  <c:pt idx="10">
                    <c:v>0.22539327371960088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Together!$A$4:$A$14</c:f>
              <c:numCache>
                <c:formatCode>General</c:formatCode>
                <c:ptCount val="1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0.25</c:v>
                </c:pt>
                <c:pt idx="5">
                  <c:v>0.5</c:v>
                </c:pt>
                <c:pt idx="6">
                  <c:v>1</c:v>
                </c:pt>
                <c:pt idx="7">
                  <c:v>2.5</c:v>
                </c:pt>
                <c:pt idx="8">
                  <c:v>5</c:v>
                </c:pt>
                <c:pt idx="9">
                  <c:v>7.5</c:v>
                </c:pt>
                <c:pt idx="10">
                  <c:v>10</c:v>
                </c:pt>
              </c:numCache>
            </c:numRef>
          </c:xVal>
          <c:yVal>
            <c:numRef>
              <c:f>Together!$B$4:$B$14</c:f>
              <c:numCache>
                <c:formatCode>0.00</c:formatCode>
                <c:ptCount val="11"/>
                <c:pt idx="0">
                  <c:v>0</c:v>
                </c:pt>
                <c:pt idx="1">
                  <c:v>8.0512615493958745E-2</c:v>
                </c:pt>
                <c:pt idx="2">
                  <c:v>0.17186601008562621</c:v>
                </c:pt>
                <c:pt idx="3">
                  <c:v>0.41935306460892807</c:v>
                </c:pt>
                <c:pt idx="4">
                  <c:v>1.0951830981148676</c:v>
                </c:pt>
                <c:pt idx="5">
                  <c:v>1.6949293710021318</c:v>
                </c:pt>
                <c:pt idx="6">
                  <c:v>1.8442544928419122</c:v>
                </c:pt>
                <c:pt idx="7">
                  <c:v>3.1057510068704093</c:v>
                </c:pt>
                <c:pt idx="8">
                  <c:v>2.6107768978238055</c:v>
                </c:pt>
                <c:pt idx="9">
                  <c:v>2.0151950705655399</c:v>
                </c:pt>
                <c:pt idx="10">
                  <c:v>1.7963964552238803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9-D640-B0A1-3A20C635AA90}"/>
            </c:ext>
          </c:extLst>
        </c:ser>
        <c:ser>
          <c:idx val="1"/>
          <c:order val="1"/>
          <c:spPr>
            <a:ln w="12700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Together!$D$4:$D$104</c:f>
              <c:numCache>
                <c:formatCode>General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Together!$E$4:$E$104</c:f>
              <c:numCache>
                <c:formatCode>0.00</c:formatCode>
                <c:ptCount val="101"/>
                <c:pt idx="0" formatCode="General">
                  <c:v>0</c:v>
                </c:pt>
                <c:pt idx="1">
                  <c:v>0.51720047449584827</c:v>
                </c:pt>
                <c:pt idx="2">
                  <c:v>0.91393967625480377</c:v>
                </c:pt>
                <c:pt idx="3">
                  <c:v>1.2279127985814127</c:v>
                </c:pt>
                <c:pt idx="4">
                  <c:v>1.4825729668461323</c:v>
                </c:pt>
                <c:pt idx="5">
                  <c:v>1.6932769483041339</c:v>
                </c:pt>
                <c:pt idx="6">
                  <c:v>1.8705013108763011</c:v>
                </c:pt>
                <c:pt idx="7">
                  <c:v>2.0216383307573418</c:v>
                </c:pt>
                <c:pt idx="8">
                  <c:v>2.1520531980530611</c:v>
                </c:pt>
                <c:pt idx="9">
                  <c:v>2.2657342657342654</c:v>
                </c:pt>
                <c:pt idx="10">
                  <c:v>2.3657080846446013</c:v>
                </c:pt>
                <c:pt idx="11">
                  <c:v>2.4543128447148463</c:v>
                </c:pt>
                <c:pt idx="12">
                  <c:v>2.5333835476408244</c:v>
                </c:pt>
                <c:pt idx="13">
                  <c:v>2.6043804564251802</c:v>
                </c:pt>
                <c:pt idx="14">
                  <c:v>2.6684801088065289</c:v>
                </c:pt>
                <c:pt idx="15">
                  <c:v>2.7266410339556217</c:v>
                </c:pt>
                <c:pt idx="16">
                  <c:v>2.7796520122194188</c:v>
                </c:pt>
                <c:pt idx="17">
                  <c:v>2.8281680586763898</c:v>
                </c:pt>
                <c:pt idx="18">
                  <c:v>2.8727376255744912</c:v>
                </c:pt>
                <c:pt idx="19">
                  <c:v>2.913823425958495</c:v>
                </c:pt>
                <c:pt idx="20">
                  <c:v>2.9518185579418512</c:v>
                </c:pt>
                <c:pt idx="21">
                  <c:v>2.9870591220502414</c:v>
                </c:pt>
                <c:pt idx="22">
                  <c:v>3.0198341903662507</c:v>
                </c:pt>
                <c:pt idx="23">
                  <c:v>3.0503937540135873</c:v>
                </c:pt>
                <c:pt idx="24">
                  <c:v>3.0789551116487401</c:v>
                </c:pt>
                <c:pt idx="25">
                  <c:v>3.105708044448666</c:v>
                </c:pt>
                <c:pt idx="26">
                  <c:v>3.130819038266794</c:v>
                </c:pt>
                <c:pt idx="27">
                  <c:v>3.1544347515407751</c:v>
                </c:pt>
                <c:pt idx="28">
                  <c:v>3.1766848816029145</c:v>
                </c:pt>
                <c:pt idx="29">
                  <c:v>3.1976845477281031</c:v>
                </c:pt>
                <c:pt idx="30">
                  <c:v>3.2175362833793426</c:v>
                </c:pt>
                <c:pt idx="31">
                  <c:v>3.2363317104317986</c:v>
                </c:pt>
                <c:pt idx="32">
                  <c:v>3.2541529530670954</c:v>
                </c:pt>
                <c:pt idx="33">
                  <c:v>3.2710738373708543</c:v>
                </c:pt>
                <c:pt idx="34">
                  <c:v>3.2871609135930226</c:v>
                </c:pt>
                <c:pt idx="35">
                  <c:v>3.3024743309207212</c:v>
                </c:pt>
                <c:pt idx="36">
                  <c:v>3.317068589006035</c:v>
                </c:pt>
                <c:pt idx="37">
                  <c:v>3.3309931860417104</c:v>
                </c:pt>
                <c:pt idx="38">
                  <c:v>3.3442931796263489</c:v>
                </c:pt>
                <c:pt idx="39">
                  <c:v>3.3570096738105168</c:v>
                </c:pt>
                <c:pt idx="40">
                  <c:v>3.3691802434155456</c:v>
                </c:pt>
                <c:pt idx="41">
                  <c:v>3.3808393048521657</c:v>
                </c:pt>
                <c:pt idx="42">
                  <c:v>3.3920184411468095</c:v>
                </c:pt>
                <c:pt idx="43">
                  <c:v>3.4027466876399064</c:v>
                </c:pt>
                <c:pt idx="44">
                  <c:v>3.4130507837982096</c:v>
                </c:pt>
                <c:pt idx="45">
                  <c:v>3.4229553957392369</c:v>
                </c:pt>
                <c:pt idx="46">
                  <c:v>3.4324833133664217</c:v>
                </c:pt>
                <c:pt idx="47">
                  <c:v>3.4416556254315416</c:v>
                </c:pt>
                <c:pt idx="48">
                  <c:v>3.4504918753549383</c:v>
                </c:pt>
                <c:pt idx="49">
                  <c:v>3.4590102002266718</c:v>
                </c:pt>
                <c:pt idx="50">
                  <c:v>3.4672274550691857</c:v>
                </c:pt>
                <c:pt idx="51">
                  <c:v>3.475159324153021</c:v>
                </c:pt>
                <c:pt idx="52">
                  <c:v>3.4828204209124891</c:v>
                </c:pt>
                <c:pt idx="53">
                  <c:v>3.4902243778005273</c:v>
                </c:pt>
                <c:pt idx="54">
                  <c:v>3.4973839272451186</c:v>
                </c:pt>
                <c:pt idx="55">
                  <c:v>3.5043109747186905</c:v>
                </c:pt>
                <c:pt idx="56">
                  <c:v>3.5110166648025949</c:v>
                </c:pt>
                <c:pt idx="57">
                  <c:v>3.5175114410178181</c:v>
                </c:pt>
                <c:pt idx="58">
                  <c:v>3.523805100097543</c:v>
                </c:pt>
                <c:pt idx="59">
                  <c:v>3.5299068412947685</c:v>
                </c:pt>
                <c:pt idx="60">
                  <c:v>3.5358253112469402</c:v>
                </c:pt>
                <c:pt idx="61">
                  <c:v>3.5415686448577386</c:v>
                </c:pt>
                <c:pt idx="62">
                  <c:v>3.5471445026025337</c:v>
                </c:pt>
                <c:pt idx="63">
                  <c:v>3.5525601046172417</c:v>
                </c:pt>
                <c:pt idx="64">
                  <c:v>3.5578222618895827</c:v>
                </c:pt>
                <c:pt idx="65">
                  <c:v>3.5629374048360734</c:v>
                </c:pt>
                <c:pt idx="66">
                  <c:v>3.5679116095168553</c:v>
                </c:pt>
                <c:pt idx="67">
                  <c:v>3.572750621713074</c:v>
                </c:pt>
                <c:pt idx="68">
                  <c:v>3.5774598790673977</c:v>
                </c:pt>
                <c:pt idx="69">
                  <c:v>3.582044531467051</c:v>
                </c:pt>
                <c:pt idx="70">
                  <c:v>3.5865094598299971</c:v>
                </c:pt>
                <c:pt idx="71">
                  <c:v>3.5908592934383332</c:v>
                </c:pt>
                <c:pt idx="72">
                  <c:v>3.5950984259483119</c:v>
                </c:pt>
                <c:pt idx="73">
                  <c:v>3.5992310301933728</c:v>
                </c:pt>
                <c:pt idx="74">
                  <c:v>3.6032610718850431</c:v>
                </c:pt>
                <c:pt idx="75">
                  <c:v>3.6071923223062492</c:v>
                </c:pt>
                <c:pt idx="76">
                  <c:v>3.6110283700824581</c:v>
                </c:pt>
                <c:pt idx="77">
                  <c:v>3.6147726321078633</c:v>
                </c:pt>
                <c:pt idx="78">
                  <c:v>3.6184283636965486</c:v>
                </c:pt>
                <c:pt idx="79">
                  <c:v>3.6219986680220124</c:v>
                </c:pt>
                <c:pt idx="80">
                  <c:v>3.6254865049025833</c:v>
                </c:pt>
                <c:pt idx="81">
                  <c:v>3.6288946989850088</c:v>
                </c:pt>
                <c:pt idx="82">
                  <c:v>3.6322259473737679</c:v>
                </c:pt>
                <c:pt idx="83">
                  <c:v>3.6354828267494161</c:v>
                </c:pt>
                <c:pt idx="84">
                  <c:v>3.6386678000154546</c:v>
                </c:pt>
                <c:pt idx="85">
                  <c:v>3.6417832225097442</c:v>
                </c:pt>
                <c:pt idx="86">
                  <c:v>3.6448313478134078</c:v>
                </c:pt>
                <c:pt idx="87">
                  <c:v>3.6478143331873012</c:v>
                </c:pt>
                <c:pt idx="88">
                  <c:v>3.650734244663643</c:v>
                </c:pt>
                <c:pt idx="89">
                  <c:v>3.6535930618180292</c:v>
                </c:pt>
                <c:pt idx="90">
                  <c:v>3.6563926822450226</c:v>
                </c:pt>
                <c:pt idx="91">
                  <c:v>3.6591349257585533</c:v>
                </c:pt>
                <c:pt idx="92">
                  <c:v>3.6618215383366972</c:v>
                </c:pt>
                <c:pt idx="93">
                  <c:v>3.6644541958287724</c:v>
                </c:pt>
                <c:pt idx="94">
                  <c:v>3.6670345074413193</c:v>
                </c:pt>
                <c:pt idx="95">
                  <c:v>3.6695640190181811</c:v>
                </c:pt>
                <c:pt idx="96">
                  <c:v>3.6720442161287492</c:v>
                </c:pt>
                <c:pt idx="97">
                  <c:v>3.674476526977323</c:v>
                </c:pt>
                <c:pt idx="98">
                  <c:v>3.6768623251455725</c:v>
                </c:pt>
                <c:pt idx="99">
                  <c:v>3.6792029321791504</c:v>
                </c:pt>
                <c:pt idx="100">
                  <c:v>3.6814996200287089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9-D640-B0A1-3A20C635AA90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Together!$H$4:$H$14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1.5179946456500832E-2</c:v>
                  </c:pt>
                  <c:pt idx="2">
                    <c:v>8.4279799189158622E-3</c:v>
                  </c:pt>
                  <c:pt idx="3">
                    <c:v>4.4085831473301688E-2</c:v>
                  </c:pt>
                  <c:pt idx="4">
                    <c:v>1.6525049065894637E-2</c:v>
                  </c:pt>
                  <c:pt idx="5">
                    <c:v>7.9241646897359394E-2</c:v>
                  </c:pt>
                  <c:pt idx="6">
                    <c:v>5.5836021188594834E-2</c:v>
                  </c:pt>
                  <c:pt idx="7">
                    <c:v>0.18528731445765895</c:v>
                  </c:pt>
                  <c:pt idx="8">
                    <c:v>0.22412228298173026</c:v>
                  </c:pt>
                  <c:pt idx="9">
                    <c:v>3.966138694283694E-2</c:v>
                  </c:pt>
                  <c:pt idx="10">
                    <c:v>4.9180119809117517E-2</c:v>
                  </c:pt>
                </c:numCache>
              </c:numRef>
            </c:plus>
            <c:minus>
              <c:numRef>
                <c:f>Together!$H$4:$H$14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1.5179946456500832E-2</c:v>
                  </c:pt>
                  <c:pt idx="2">
                    <c:v>8.4279799189158622E-3</c:v>
                  </c:pt>
                  <c:pt idx="3">
                    <c:v>4.4085831473301688E-2</c:v>
                  </c:pt>
                  <c:pt idx="4">
                    <c:v>1.6525049065894637E-2</c:v>
                  </c:pt>
                  <c:pt idx="5">
                    <c:v>7.9241646897359394E-2</c:v>
                  </c:pt>
                  <c:pt idx="6">
                    <c:v>5.5836021188594834E-2</c:v>
                  </c:pt>
                  <c:pt idx="7">
                    <c:v>0.18528731445765895</c:v>
                  </c:pt>
                  <c:pt idx="8">
                    <c:v>0.22412228298173026</c:v>
                  </c:pt>
                  <c:pt idx="9">
                    <c:v>3.966138694283694E-2</c:v>
                  </c:pt>
                  <c:pt idx="10">
                    <c:v>4.9180119809117517E-2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Together!$F$4:$F$14</c:f>
              <c:numCache>
                <c:formatCode>General</c:formatCode>
                <c:ptCount val="1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0.25</c:v>
                </c:pt>
                <c:pt idx="5">
                  <c:v>0.5</c:v>
                </c:pt>
                <c:pt idx="6">
                  <c:v>1</c:v>
                </c:pt>
                <c:pt idx="7">
                  <c:v>2.5</c:v>
                </c:pt>
                <c:pt idx="8">
                  <c:v>5</c:v>
                </c:pt>
                <c:pt idx="9">
                  <c:v>7.5</c:v>
                </c:pt>
                <c:pt idx="10">
                  <c:v>10</c:v>
                </c:pt>
              </c:numCache>
            </c:numRef>
          </c:xVal>
          <c:yVal>
            <c:numRef>
              <c:f>Together!$G$4:$G$14</c:f>
              <c:numCache>
                <c:formatCode>0.00</c:formatCode>
                <c:ptCount val="11"/>
                <c:pt idx="0" formatCode="General">
                  <c:v>0</c:v>
                </c:pt>
                <c:pt idx="1">
                  <c:v>0.10047551358851997</c:v>
                </c:pt>
                <c:pt idx="2">
                  <c:v>0.16763546214505701</c:v>
                </c:pt>
                <c:pt idx="3">
                  <c:v>0.46112972552204951</c:v>
                </c:pt>
                <c:pt idx="4">
                  <c:v>1.2235537871865161</c:v>
                </c:pt>
                <c:pt idx="5">
                  <c:v>2.0888330456560724</c:v>
                </c:pt>
                <c:pt idx="6">
                  <c:v>2.2432480454868506</c:v>
                </c:pt>
                <c:pt idx="7">
                  <c:v>3.2776170169560355</c:v>
                </c:pt>
                <c:pt idx="8">
                  <c:v>2.5010470606152904</c:v>
                </c:pt>
                <c:pt idx="9">
                  <c:v>2.0195578231292508</c:v>
                </c:pt>
                <c:pt idx="10">
                  <c:v>2.2051731140217274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9-D640-B0A1-3A20C635AA90}"/>
            </c:ext>
          </c:extLst>
        </c:ser>
        <c:ser>
          <c:idx val="3"/>
          <c:order val="3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Together!$I$4:$I$104</c:f>
              <c:numCache>
                <c:formatCode>General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</c:numCache>
            </c:numRef>
          </c:xVal>
          <c:yVal>
            <c:numRef>
              <c:f>Together!$J$4:$J$104</c:f>
              <c:numCache>
                <c:formatCode>0.00</c:formatCode>
                <c:ptCount val="101"/>
                <c:pt idx="0" formatCode="General">
                  <c:v>0</c:v>
                </c:pt>
                <c:pt idx="1">
                  <c:v>0.60839160839160844</c:v>
                </c:pt>
                <c:pt idx="2">
                  <c:v>1.0591892241937573</c:v>
                </c:pt>
                <c:pt idx="3">
                  <c:v>1.4066047471620229</c:v>
                </c:pt>
                <c:pt idx="4">
                  <c:v>1.6825429482563523</c:v>
                </c:pt>
                <c:pt idx="5">
                  <c:v>1.9070049435686971</c:v>
                </c:pt>
                <c:pt idx="6">
                  <c:v>2.0931661121064757</c:v>
                </c:pt>
                <c:pt idx="7">
                  <c:v>2.2500589576291175</c:v>
                </c:pt>
                <c:pt idx="8">
                  <c:v>2.3840827927993584</c:v>
                </c:pt>
                <c:pt idx="9">
                  <c:v>2.4998981047483189</c:v>
                </c:pt>
                <c:pt idx="10">
                  <c:v>2.6009795814515617</c:v>
                </c:pt>
                <c:pt idx="11">
                  <c:v>2.6899706955325637</c:v>
                </c:pt>
                <c:pt idx="12">
                  <c:v>2.7689182326053836</c:v>
                </c:pt>
                <c:pt idx="13">
                  <c:v>2.8394316542919715</c:v>
                </c:pt>
                <c:pt idx="14">
                  <c:v>2.9027939759647081</c:v>
                </c:pt>
                <c:pt idx="15">
                  <c:v>2.9600405385840456</c:v>
                </c:pt>
                <c:pt idx="16">
                  <c:v>3.0120160213618159</c:v>
                </c:pt>
                <c:pt idx="17">
                  <c:v>3.0594163989261043</c:v>
                </c:pt>
                <c:pt idx="18">
                  <c:v>3.102820285822689</c:v>
                </c:pt>
                <c:pt idx="19">
                  <c:v>3.1427126734355411</c:v>
                </c:pt>
                <c:pt idx="20">
                  <c:v>3.1795031297383463</c:v>
                </c:pt>
                <c:pt idx="21">
                  <c:v>3.2135399124284278</c:v>
                </c:pt>
                <c:pt idx="22">
                  <c:v>3.2451210273799647</c:v>
                </c:pt>
                <c:pt idx="23">
                  <c:v>3.274502976915846</c:v>
                </c:pt>
                <c:pt idx="24">
                  <c:v>3.3019077420006058</c:v>
                </c:pt>
                <c:pt idx="25">
                  <c:v>3.3275284007682053</c:v>
                </c:pt>
                <c:pt idx="26">
                  <c:v>3.3515336843100787</c:v>
                </c:pt>
                <c:pt idx="27">
                  <c:v>3.3740716970752733</c:v>
                </c:pt>
                <c:pt idx="28">
                  <c:v>3.395272975297293</c:v>
                </c:pt>
                <c:pt idx="29">
                  <c:v>3.4152530169061959</c:v>
                </c:pt>
                <c:pt idx="30">
                  <c:v>3.434114386495339</c:v>
                </c:pt>
                <c:pt idx="31">
                  <c:v>3.4519484763486843</c:v>
                </c:pt>
                <c:pt idx="32">
                  <c:v>3.4688369873545239</c:v>
                </c:pt>
                <c:pt idx="33">
                  <c:v>3.4848531804447207</c:v>
                </c:pt>
                <c:pt idx="34">
                  <c:v>3.5000629389995219</c:v>
                </c:pt>
                <c:pt idx="35">
                  <c:v>3.514525674713294</c:v>
                </c:pt>
                <c:pt idx="36">
                  <c:v>3.5282951031854464</c:v>
                </c:pt>
                <c:pt idx="37">
                  <c:v>3.5414199105826181</c:v>
                </c:pt>
                <c:pt idx="38">
                  <c:v>3.5539443288122419</c:v>
                </c:pt>
                <c:pt idx="39">
                  <c:v>3.5659086335278736</c:v>
                </c:pt>
                <c:pt idx="40">
                  <c:v>3.5773495767809109</c:v>
                </c:pt>
                <c:pt idx="41">
                  <c:v>3.5883007641103579</c:v>
                </c:pt>
                <c:pt idx="42">
                  <c:v>3.598792984220784</c:v>
                </c:pt>
                <c:pt idx="43">
                  <c:v>3.6088544980603854</c:v>
                </c:pt>
                <c:pt idx="44">
                  <c:v>3.6185112930150241</c:v>
                </c:pt>
                <c:pt idx="45">
                  <c:v>3.6277873070325906</c:v>
                </c:pt>
                <c:pt idx="46">
                  <c:v>3.6367046267473566</c:v>
                </c:pt>
                <c:pt idx="47">
                  <c:v>3.6452836630564676</c:v>
                </c:pt>
                <c:pt idx="48">
                  <c:v>3.6535433070866148</c:v>
                </c:pt>
                <c:pt idx="49">
                  <c:v>3.661501069059411</c:v>
                </c:pt>
                <c:pt idx="50">
                  <c:v>3.669173202203837</c:v>
                </c:pt>
                <c:pt idx="51">
                  <c:v>3.6765748135611149</c:v>
                </c:pt>
                <c:pt idx="52">
                  <c:v>3.6837199632715998</c:v>
                </c:pt>
                <c:pt idx="53">
                  <c:v>3.6906217537167287</c:v>
                </c:pt>
                <c:pt idx="54">
                  <c:v>3.6972924097051294</c:v>
                </c:pt>
                <c:pt idx="55">
                  <c:v>3.7037433507353308</c:v>
                </c:pt>
                <c:pt idx="56">
                  <c:v>3.7099852562336975</c:v>
                </c:pt>
                <c:pt idx="57">
                  <c:v>3.7160281245515856</c:v>
                </c:pt>
                <c:pt idx="58">
                  <c:v>3.7218813264073072</c:v>
                </c:pt>
                <c:pt idx="59">
                  <c:v>3.7275536533737119</c:v>
                </c:pt>
                <c:pt idx="60">
                  <c:v>3.7330533619391066</c:v>
                </c:pt>
                <c:pt idx="61">
                  <c:v>3.7383882136059117</c:v>
                </c:pt>
                <c:pt idx="62">
                  <c:v>3.7435655114366302</c:v>
                </c:pt>
                <c:pt idx="63">
                  <c:v>3.7485921334090015</c:v>
                </c:pt>
                <c:pt idx="64">
                  <c:v>3.7534745629007045</c:v>
                </c:pt>
                <c:pt idx="65">
                  <c:v>3.758218916587718</c:v>
                </c:pt>
                <c:pt idx="66">
                  <c:v>3.7628309700087841</c:v>
                </c:pt>
                <c:pt idx="67">
                  <c:v>3.7673161810206133</c:v>
                </c:pt>
                <c:pt idx="68">
                  <c:v>3.7716797113441221</c:v>
                </c:pt>
                <c:pt idx="69">
                  <c:v>3.7759264463805353</c:v>
                </c:pt>
                <c:pt idx="70">
                  <c:v>3.7800610134572969</c:v>
                </c:pt>
                <c:pt idx="71">
                  <c:v>3.7840877986470458</c:v>
                </c:pt>
                <c:pt idx="72">
                  <c:v>3.7880109622881846</c:v>
                </c:pt>
                <c:pt idx="73">
                  <c:v>3.7918344533224935</c:v>
                </c:pt>
                <c:pt idx="74">
                  <c:v>3.7955620225536562</c:v>
                </c:pt>
                <c:pt idx="75">
                  <c:v>3.7991972349202805</c:v>
                </c:pt>
                <c:pt idx="76">
                  <c:v>3.8027434808678304</c:v>
                </c:pt>
                <c:pt idx="77">
                  <c:v>3.8062039868957092</c:v>
                </c:pt>
                <c:pt idx="78">
                  <c:v>3.8095818253484786</c:v>
                </c:pt>
                <c:pt idx="79">
                  <c:v>3.8128799235136501</c:v>
                </c:pt>
                <c:pt idx="80">
                  <c:v>3.8161010720826867</c:v>
                </c:pt>
                <c:pt idx="81">
                  <c:v>3.819247933026602</c:v>
                </c:pt>
                <c:pt idx="82">
                  <c:v>3.8223230469328895</c:v>
                </c:pt>
                <c:pt idx="83">
                  <c:v>3.825328839846259</c:v>
                </c:pt>
                <c:pt idx="84">
                  <c:v>3.8282676296519211</c:v>
                </c:pt>
                <c:pt idx="85">
                  <c:v>3.8311416320366836</c:v>
                </c:pt>
                <c:pt idx="86">
                  <c:v>3.8339529660601164</c:v>
                </c:pt>
                <c:pt idx="87">
                  <c:v>3.8367036593651922</c:v>
                </c:pt>
                <c:pt idx="88">
                  <c:v>3.8393956530553446</c:v>
                </c:pt>
                <c:pt idx="89">
                  <c:v>3.8420308062626027</c:v>
                </c:pt>
                <c:pt idx="90">
                  <c:v>3.8446109004293727</c:v>
                </c:pt>
                <c:pt idx="91">
                  <c:v>3.8471376433246136</c:v>
                </c:pt>
                <c:pt idx="92">
                  <c:v>3.8496126728134175</c:v>
                </c:pt>
                <c:pt idx="93">
                  <c:v>3.8520375603974832</c:v>
                </c:pt>
                <c:pt idx="94">
                  <c:v>3.8544138145425735</c:v>
                </c:pt>
                <c:pt idx="95">
                  <c:v>3.8567428838077458</c:v>
                </c:pt>
                <c:pt idx="96">
                  <c:v>3.8590261597900137</c:v>
                </c:pt>
                <c:pt idx="97">
                  <c:v>3.8612649798970025</c:v>
                </c:pt>
                <c:pt idx="98">
                  <c:v>3.8634606299592171</c:v>
                </c:pt>
                <c:pt idx="99">
                  <c:v>3.8656143466926403</c:v>
                </c:pt>
                <c:pt idx="100">
                  <c:v>3.8677273200215656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9-D640-B0A1-3A20C635A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7296767"/>
        <c:axId val="997298415"/>
      </c:scatterChart>
      <c:valAx>
        <c:axId val="997296767"/>
        <c:scaling>
          <c:orientation val="minMax"/>
          <c:max val="10.19999999999999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H2O2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97298415"/>
        <c:crosses val="autoZero"/>
        <c:crossBetween val="midCat"/>
        <c:majorUnit val="2"/>
      </c:valAx>
      <c:valAx>
        <c:axId val="997298415"/>
        <c:scaling>
          <c:orientation val="minMax"/>
          <c:max val="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specific activity [mmol l1- mg-1 min-1]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97296767"/>
        <c:crosses val="autoZero"/>
        <c:crossBetween val="midCat"/>
        <c:majorUnit val="1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2">
                  <a:lumMod val="75000"/>
                </a:schemeClr>
              </a:solidFill>
              <a:ln w="9525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Together!$C$4:$C$14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1.1752091257701568E-2</c:v>
                  </c:pt>
                  <c:pt idx="2">
                    <c:v>1.4268303003722943E-2</c:v>
                  </c:pt>
                  <c:pt idx="3">
                    <c:v>6.3064792481765219E-2</c:v>
                  </c:pt>
                  <c:pt idx="4">
                    <c:v>9.6850331407666454E-2</c:v>
                  </c:pt>
                  <c:pt idx="5">
                    <c:v>4.3429218702406458E-2</c:v>
                  </c:pt>
                  <c:pt idx="6">
                    <c:v>0.24510737130673116</c:v>
                  </c:pt>
                  <c:pt idx="7">
                    <c:v>0.17538446879751601</c:v>
                  </c:pt>
                  <c:pt idx="8">
                    <c:v>0.34865785646053743</c:v>
                  </c:pt>
                  <c:pt idx="9">
                    <c:v>0.34334347491427997</c:v>
                  </c:pt>
                  <c:pt idx="10">
                    <c:v>0.22539327371960088</c:v>
                  </c:pt>
                </c:numCache>
              </c:numRef>
            </c:plus>
            <c:minus>
              <c:numRef>
                <c:f>Together!$C$4:$C$14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1.1752091257701568E-2</c:v>
                  </c:pt>
                  <c:pt idx="2">
                    <c:v>1.4268303003722943E-2</c:v>
                  </c:pt>
                  <c:pt idx="3">
                    <c:v>6.3064792481765219E-2</c:v>
                  </c:pt>
                  <c:pt idx="4">
                    <c:v>9.6850331407666454E-2</c:v>
                  </c:pt>
                  <c:pt idx="5">
                    <c:v>4.3429218702406458E-2</c:v>
                  </c:pt>
                  <c:pt idx="6">
                    <c:v>0.24510737130673116</c:v>
                  </c:pt>
                  <c:pt idx="7">
                    <c:v>0.17538446879751601</c:v>
                  </c:pt>
                  <c:pt idx="8">
                    <c:v>0.34865785646053743</c:v>
                  </c:pt>
                  <c:pt idx="9">
                    <c:v>0.34334347491427997</c:v>
                  </c:pt>
                  <c:pt idx="10">
                    <c:v>0.22539327371960088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Together!$A$4:$A$14</c:f>
              <c:numCache>
                <c:formatCode>General</c:formatCode>
                <c:ptCount val="1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0.25</c:v>
                </c:pt>
                <c:pt idx="5">
                  <c:v>0.5</c:v>
                </c:pt>
                <c:pt idx="6">
                  <c:v>1</c:v>
                </c:pt>
                <c:pt idx="7">
                  <c:v>2.5</c:v>
                </c:pt>
                <c:pt idx="8">
                  <c:v>5</c:v>
                </c:pt>
                <c:pt idx="9">
                  <c:v>7.5</c:v>
                </c:pt>
                <c:pt idx="10">
                  <c:v>10</c:v>
                </c:pt>
              </c:numCache>
            </c:numRef>
          </c:xVal>
          <c:yVal>
            <c:numRef>
              <c:f>Together!$B$4:$B$14</c:f>
              <c:numCache>
                <c:formatCode>0.00</c:formatCode>
                <c:ptCount val="11"/>
                <c:pt idx="0">
                  <c:v>0</c:v>
                </c:pt>
                <c:pt idx="1">
                  <c:v>8.0512615493958745E-2</c:v>
                </c:pt>
                <c:pt idx="2">
                  <c:v>0.17186601008562621</c:v>
                </c:pt>
                <c:pt idx="3">
                  <c:v>0.41935306460892807</c:v>
                </c:pt>
                <c:pt idx="4">
                  <c:v>1.0951830981148676</c:v>
                </c:pt>
                <c:pt idx="5">
                  <c:v>1.6949293710021318</c:v>
                </c:pt>
                <c:pt idx="6">
                  <c:v>1.8442544928419122</c:v>
                </c:pt>
                <c:pt idx="7">
                  <c:v>3.1057510068704093</c:v>
                </c:pt>
                <c:pt idx="8">
                  <c:v>2.6107768978238055</c:v>
                </c:pt>
                <c:pt idx="9">
                  <c:v>2.0151950705655399</c:v>
                </c:pt>
                <c:pt idx="10">
                  <c:v>1.7963964552238803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7C-E141-8719-B27FDB32A685}"/>
            </c:ext>
          </c:extLst>
        </c:ser>
        <c:ser>
          <c:idx val="1"/>
          <c:order val="1"/>
          <c:spPr>
            <a:ln w="12700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Together!$D$4:$D$29</c:f>
              <c:numCache>
                <c:formatCode>General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</c:numCache>
            </c:numRef>
          </c:xVal>
          <c:yVal>
            <c:numRef>
              <c:f>Together!$E$4:$E$29</c:f>
              <c:numCache>
                <c:formatCode>0.00</c:formatCode>
                <c:ptCount val="26"/>
                <c:pt idx="0" formatCode="General">
                  <c:v>0</c:v>
                </c:pt>
                <c:pt idx="1">
                  <c:v>0.51720047449584827</c:v>
                </c:pt>
                <c:pt idx="2">
                  <c:v>0.91393967625480377</c:v>
                </c:pt>
                <c:pt idx="3">
                  <c:v>1.2279127985814127</c:v>
                </c:pt>
                <c:pt idx="4">
                  <c:v>1.4825729668461323</c:v>
                </c:pt>
                <c:pt idx="5">
                  <c:v>1.6932769483041339</c:v>
                </c:pt>
                <c:pt idx="6">
                  <c:v>1.8705013108763011</c:v>
                </c:pt>
                <c:pt idx="7">
                  <c:v>2.0216383307573418</c:v>
                </c:pt>
                <c:pt idx="8">
                  <c:v>2.1520531980530611</c:v>
                </c:pt>
                <c:pt idx="9">
                  <c:v>2.2657342657342654</c:v>
                </c:pt>
                <c:pt idx="10">
                  <c:v>2.3657080846446013</c:v>
                </c:pt>
                <c:pt idx="11">
                  <c:v>2.4543128447148463</c:v>
                </c:pt>
                <c:pt idx="12">
                  <c:v>2.5333835476408244</c:v>
                </c:pt>
                <c:pt idx="13">
                  <c:v>2.6043804564251802</c:v>
                </c:pt>
                <c:pt idx="14">
                  <c:v>2.6684801088065289</c:v>
                </c:pt>
                <c:pt idx="15">
                  <c:v>2.7266410339556217</c:v>
                </c:pt>
                <c:pt idx="16">
                  <c:v>2.7796520122194188</c:v>
                </c:pt>
                <c:pt idx="17">
                  <c:v>2.8281680586763898</c:v>
                </c:pt>
                <c:pt idx="18">
                  <c:v>2.8727376255744912</c:v>
                </c:pt>
                <c:pt idx="19">
                  <c:v>2.913823425958495</c:v>
                </c:pt>
                <c:pt idx="20">
                  <c:v>2.9518185579418512</c:v>
                </c:pt>
                <c:pt idx="21">
                  <c:v>2.9870591220502414</c:v>
                </c:pt>
                <c:pt idx="22">
                  <c:v>3.0198341903662507</c:v>
                </c:pt>
                <c:pt idx="23">
                  <c:v>3.0503937540135873</c:v>
                </c:pt>
                <c:pt idx="24">
                  <c:v>3.0789551116487401</c:v>
                </c:pt>
                <c:pt idx="25">
                  <c:v>3.105708044448666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7C-E141-8719-B27FDB32A685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Together!$H$4:$H$14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1.5179946456500832E-2</c:v>
                  </c:pt>
                  <c:pt idx="2">
                    <c:v>8.4279799189158622E-3</c:v>
                  </c:pt>
                  <c:pt idx="3">
                    <c:v>4.4085831473301688E-2</c:v>
                  </c:pt>
                  <c:pt idx="4">
                    <c:v>1.6525049065894637E-2</c:v>
                  </c:pt>
                  <c:pt idx="5">
                    <c:v>7.9241646897359394E-2</c:v>
                  </c:pt>
                  <c:pt idx="6">
                    <c:v>5.5836021188594834E-2</c:v>
                  </c:pt>
                  <c:pt idx="7">
                    <c:v>0.18528731445765895</c:v>
                  </c:pt>
                  <c:pt idx="8">
                    <c:v>0.22412228298173026</c:v>
                  </c:pt>
                  <c:pt idx="9">
                    <c:v>3.966138694283694E-2</c:v>
                  </c:pt>
                  <c:pt idx="10">
                    <c:v>4.9180119809117517E-2</c:v>
                  </c:pt>
                </c:numCache>
              </c:numRef>
            </c:plus>
            <c:minus>
              <c:numRef>
                <c:f>Together!$H$4:$H$14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1.5179946456500832E-2</c:v>
                  </c:pt>
                  <c:pt idx="2">
                    <c:v>8.4279799189158622E-3</c:v>
                  </c:pt>
                  <c:pt idx="3">
                    <c:v>4.4085831473301688E-2</c:v>
                  </c:pt>
                  <c:pt idx="4">
                    <c:v>1.6525049065894637E-2</c:v>
                  </c:pt>
                  <c:pt idx="5">
                    <c:v>7.9241646897359394E-2</c:v>
                  </c:pt>
                  <c:pt idx="6">
                    <c:v>5.5836021188594834E-2</c:v>
                  </c:pt>
                  <c:pt idx="7">
                    <c:v>0.18528731445765895</c:v>
                  </c:pt>
                  <c:pt idx="8">
                    <c:v>0.22412228298173026</c:v>
                  </c:pt>
                  <c:pt idx="9">
                    <c:v>3.966138694283694E-2</c:v>
                  </c:pt>
                  <c:pt idx="10">
                    <c:v>4.9180119809117517E-2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Together!$F$4:$F$14</c:f>
              <c:numCache>
                <c:formatCode>General</c:formatCode>
                <c:ptCount val="1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0.1</c:v>
                </c:pt>
                <c:pt idx="4">
                  <c:v>0.25</c:v>
                </c:pt>
                <c:pt idx="5">
                  <c:v>0.5</c:v>
                </c:pt>
                <c:pt idx="6">
                  <c:v>1</c:v>
                </c:pt>
                <c:pt idx="7">
                  <c:v>2.5</c:v>
                </c:pt>
                <c:pt idx="8">
                  <c:v>5</c:v>
                </c:pt>
                <c:pt idx="9">
                  <c:v>7.5</c:v>
                </c:pt>
                <c:pt idx="10">
                  <c:v>10</c:v>
                </c:pt>
              </c:numCache>
            </c:numRef>
          </c:xVal>
          <c:yVal>
            <c:numRef>
              <c:f>Together!$G$4:$G$14</c:f>
              <c:numCache>
                <c:formatCode>0.00</c:formatCode>
                <c:ptCount val="11"/>
                <c:pt idx="0" formatCode="General">
                  <c:v>0</c:v>
                </c:pt>
                <c:pt idx="1">
                  <c:v>0.10047551358851997</c:v>
                </c:pt>
                <c:pt idx="2">
                  <c:v>0.16763546214505701</c:v>
                </c:pt>
                <c:pt idx="3">
                  <c:v>0.46112972552204951</c:v>
                </c:pt>
                <c:pt idx="4">
                  <c:v>1.2235537871865161</c:v>
                </c:pt>
                <c:pt idx="5">
                  <c:v>2.0888330456560724</c:v>
                </c:pt>
                <c:pt idx="6">
                  <c:v>2.2432480454868506</c:v>
                </c:pt>
                <c:pt idx="7">
                  <c:v>3.2776170169560355</c:v>
                </c:pt>
                <c:pt idx="8">
                  <c:v>2.5010470606152904</c:v>
                </c:pt>
                <c:pt idx="9">
                  <c:v>2.0195578231292508</c:v>
                </c:pt>
                <c:pt idx="10">
                  <c:v>2.2051731140217274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7C-E141-8719-B27FDB32A685}"/>
            </c:ext>
          </c:extLst>
        </c:ser>
        <c:ser>
          <c:idx val="3"/>
          <c:order val="3"/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Together!$I$4:$I$29</c:f>
              <c:numCache>
                <c:formatCode>General</c:formatCode>
                <c:ptCount val="2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</c:numCache>
            </c:numRef>
          </c:xVal>
          <c:yVal>
            <c:numRef>
              <c:f>Together!$J$4:$J$29</c:f>
              <c:numCache>
                <c:formatCode>0.00</c:formatCode>
                <c:ptCount val="26"/>
                <c:pt idx="0" formatCode="General">
                  <c:v>0</c:v>
                </c:pt>
                <c:pt idx="1">
                  <c:v>0.60839160839160844</c:v>
                </c:pt>
                <c:pt idx="2">
                  <c:v>1.0591892241937573</c:v>
                </c:pt>
                <c:pt idx="3">
                  <c:v>1.4066047471620229</c:v>
                </c:pt>
                <c:pt idx="4">
                  <c:v>1.6825429482563523</c:v>
                </c:pt>
                <c:pt idx="5">
                  <c:v>1.9070049435686971</c:v>
                </c:pt>
                <c:pt idx="6">
                  <c:v>2.0931661121064757</c:v>
                </c:pt>
                <c:pt idx="7">
                  <c:v>2.2500589576291175</c:v>
                </c:pt>
                <c:pt idx="8">
                  <c:v>2.3840827927993584</c:v>
                </c:pt>
                <c:pt idx="9">
                  <c:v>2.4998981047483189</c:v>
                </c:pt>
                <c:pt idx="10">
                  <c:v>2.6009795814515617</c:v>
                </c:pt>
                <c:pt idx="11">
                  <c:v>2.6899706955325637</c:v>
                </c:pt>
                <c:pt idx="12">
                  <c:v>2.7689182326053836</c:v>
                </c:pt>
                <c:pt idx="13">
                  <c:v>2.8394316542919715</c:v>
                </c:pt>
                <c:pt idx="14">
                  <c:v>2.9027939759647081</c:v>
                </c:pt>
                <c:pt idx="15">
                  <c:v>2.9600405385840456</c:v>
                </c:pt>
                <c:pt idx="16">
                  <c:v>3.0120160213618159</c:v>
                </c:pt>
                <c:pt idx="17">
                  <c:v>3.0594163989261043</c:v>
                </c:pt>
                <c:pt idx="18">
                  <c:v>3.102820285822689</c:v>
                </c:pt>
                <c:pt idx="19">
                  <c:v>3.1427126734355411</c:v>
                </c:pt>
                <c:pt idx="20">
                  <c:v>3.1795031297383463</c:v>
                </c:pt>
                <c:pt idx="21">
                  <c:v>3.2135399124284278</c:v>
                </c:pt>
                <c:pt idx="22">
                  <c:v>3.2451210273799647</c:v>
                </c:pt>
                <c:pt idx="23">
                  <c:v>3.274502976915846</c:v>
                </c:pt>
                <c:pt idx="24">
                  <c:v>3.3019077420006058</c:v>
                </c:pt>
                <c:pt idx="25">
                  <c:v>3.3275284007682053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7C-E141-8719-B27FDB32A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7296767"/>
        <c:axId val="997298415"/>
      </c:scatterChart>
      <c:valAx>
        <c:axId val="997296767"/>
        <c:scaling>
          <c:orientation val="minMax"/>
          <c:max val="2.5499999999999998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H2O2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97298415"/>
        <c:crosses val="autoZero"/>
        <c:crossBetween val="midCat"/>
      </c:valAx>
      <c:valAx>
        <c:axId val="997298415"/>
        <c:scaling>
          <c:orientation val="minMax"/>
          <c:max val="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chemeClr val="tx1"/>
                    </a:solidFill>
                  </a:rPr>
                  <a:t>specific activity [mmol l1- mg-1 min-1]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97296767"/>
        <c:crosses val="autoZero"/>
        <c:crossBetween val="midCat"/>
        <c:majorUnit val="1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2616200</xdr:colOff>
      <xdr:row>12</xdr:row>
      <xdr:rowOff>69850</xdr:rowOff>
    </xdr:from>
    <xdr:to>
      <xdr:col>9</xdr:col>
      <xdr:colOff>654050</xdr:colOff>
      <xdr:row>29</xdr:row>
      <xdr:rowOff>50800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B5199BF-69EC-A040-A678-66FFA059D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2628900</xdr:colOff>
      <xdr:row>29</xdr:row>
      <xdr:rowOff>139700</xdr:rowOff>
    </xdr:from>
    <xdr:to>
      <xdr:col>9</xdr:col>
      <xdr:colOff>666750</xdr:colOff>
      <xdr:row>46</xdr:row>
      <xdr:rowOff>120650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6461DD7-4920-3F48-99F4-1C542A9FC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647700</xdr:colOff>
      <xdr:row>17</xdr:row>
      <xdr:rowOff>95250</xdr:rowOff>
    </xdr:from>
    <xdr:to>
      <xdr:col>16</xdr:col>
      <xdr:colOff>812800</xdr:colOff>
      <xdr:row>34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C46392F-334D-8344-A6C2-9702552358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787400</xdr:colOff>
      <xdr:row>26</xdr:row>
      <xdr:rowOff>76200</xdr:rowOff>
    </xdr:from>
    <xdr:to>
      <xdr:col>8</xdr:col>
      <xdr:colOff>330200</xdr:colOff>
      <xdr:row>42</xdr:row>
      <xdr:rowOff>184150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F10BAD7-5134-6C4C-B28F-6041536A6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958850</xdr:colOff>
      <xdr:row>17</xdr:row>
      <xdr:rowOff>107950</xdr:rowOff>
    </xdr:from>
    <xdr:to>
      <xdr:col>8</xdr:col>
      <xdr:colOff>38100</xdr:colOff>
      <xdr:row>32</xdr:row>
      <xdr:rowOff>50800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3ACB609-2B7A-694C-B676-6B9B2D6FEA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444500</xdr:colOff>
      <xdr:row>17</xdr:row>
      <xdr:rowOff>139700</xdr:rowOff>
    </xdr:from>
    <xdr:to>
      <xdr:col>15</xdr:col>
      <xdr:colOff>95250</xdr:colOff>
      <xdr:row>32</xdr:row>
      <xdr:rowOff>82550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0332441-D18C-C04F-AEF6-604CE07C8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17</xdr:col>
      <xdr:colOff>565150</xdr:colOff>
      <xdr:row>18</xdr:row>
      <xdr:rowOff>184150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00D96A8-0EDB-3A4E-8EEA-C1C79207C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25400</xdr:colOff>
      <xdr:row>19</xdr:row>
      <xdr:rowOff>190500</xdr:rowOff>
    </xdr:from>
    <xdr:to>
      <xdr:col>17</xdr:col>
      <xdr:colOff>590550</xdr:colOff>
      <xdr:row>36</xdr:row>
      <xdr:rowOff>171450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ABDBB2F-9001-0B40-867D-5B923D094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Dirks/Documents/PostDoc/Studenten/Sophie%20Trenkle%20bachelor/Excel-dateien%20Bachelorarbeit/Guaiacol.nach.rec.2.versu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emp.abh."/>
      <sheetName val="spektrum Proteine"/>
    </sheetNames>
    <sheetDataSet>
      <sheetData sheetId="0">
        <row r="4">
          <cell r="Q4">
            <v>5.4666666666666674E-3</v>
          </cell>
          <cell r="R4">
            <v>5.5666666666666651E-3</v>
          </cell>
          <cell r="S4">
            <v>5.7999999999999987E-3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CFE2F-A3E4-D441-8DB4-04E3964D565F}">
  <dimension ref="A2:Q103"/>
  <sheetViews>
    <sheetView tabSelected="1" workbookViewId="0">
      <selection activeCell="N12" sqref="N12"/>
    </sheetView>
  </sheetViews>
  <sheetFormatPr baseColWidth="10" defaultRowHeight="16" x14ac:dyDescent="0.2"/>
  <cols>
    <col min="1" max="1" width="13.6640625" bestFit="1" customWidth="1"/>
    <col min="2" max="2" width="12.33203125" bestFit="1" customWidth="1"/>
    <col min="3" max="3" width="14.6640625" bestFit="1" customWidth="1"/>
    <col min="4" max="4" width="19" bestFit="1" customWidth="1"/>
    <col min="5" max="5" width="38.83203125" bestFit="1" customWidth="1"/>
    <col min="6" max="6" width="26.83203125" bestFit="1" customWidth="1"/>
    <col min="13" max="13" width="17.5" customWidth="1"/>
  </cols>
  <sheetData>
    <row r="2" spans="1:17" x14ac:dyDescent="0.2">
      <c r="A2" t="s">
        <v>51</v>
      </c>
      <c r="B2" s="1" t="s">
        <v>52</v>
      </c>
      <c r="C2" s="2" t="s">
        <v>53</v>
      </c>
      <c r="D2" s="2" t="s">
        <v>54</v>
      </c>
      <c r="E2" s="1" t="s">
        <v>55</v>
      </c>
      <c r="F2" s="2" t="s">
        <v>56</v>
      </c>
      <c r="G2" s="2" t="s">
        <v>57</v>
      </c>
      <c r="L2" t="s">
        <v>51</v>
      </c>
      <c r="M2" s="1" t="s">
        <v>55</v>
      </c>
      <c r="N2" t="s">
        <v>57</v>
      </c>
    </row>
    <row r="3" spans="1:17" x14ac:dyDescent="0.2">
      <c r="A3">
        <v>10</v>
      </c>
      <c r="B3" s="3">
        <v>5.1865080000000003E-3</v>
      </c>
      <c r="C3" s="4">
        <f>60*B3</f>
        <v>0.31119047999999999</v>
      </c>
      <c r="D3" s="2">
        <f>(C3)/$B$35</f>
        <v>31.119047999999999</v>
      </c>
      <c r="E3" s="1">
        <f>(D3)/($B$37*$B$38)</f>
        <v>2.0734973347547969</v>
      </c>
      <c r="F3" s="2"/>
      <c r="G3" s="2"/>
      <c r="L3">
        <v>0</v>
      </c>
      <c r="M3">
        <v>0</v>
      </c>
      <c r="N3">
        <v>0</v>
      </c>
      <c r="P3">
        <v>0</v>
      </c>
      <c r="Q3">
        <f>(($L$16*P3)/($L$17+P3))</f>
        <v>0</v>
      </c>
    </row>
    <row r="4" spans="1:17" x14ac:dyDescent="0.2">
      <c r="B4" s="3">
        <v>3.8055559999999999E-3</v>
      </c>
      <c r="C4" s="4">
        <f t="shared" ref="C4:C32" si="0">60*B4</f>
        <v>0.22833335999999999</v>
      </c>
      <c r="D4" s="2">
        <f t="shared" ref="D4:D32" si="1">(C4)/$B$35</f>
        <v>22.833335999999999</v>
      </c>
      <c r="E4" s="1">
        <f t="shared" ref="E4:E32" si="2">(D4)/($B$37*$B$38)</f>
        <v>1.5214109808102343</v>
      </c>
      <c r="F4" s="2">
        <f>AVERAGE(E3:E5)</f>
        <v>1.7963964552238803</v>
      </c>
      <c r="G4" s="2">
        <f>_xlfn.STDEV.P(E3:E5)</f>
        <v>0.22539327371960088</v>
      </c>
      <c r="L4">
        <v>2.5000000000000001E-2</v>
      </c>
      <c r="M4">
        <f>F31</f>
        <v>8.0512615493958745E-2</v>
      </c>
      <c r="N4">
        <f>G31</f>
        <v>1.1752091257701568E-2</v>
      </c>
      <c r="P4">
        <f>P3+0.1</f>
        <v>0.1</v>
      </c>
      <c r="Q4">
        <f t="shared" ref="Q4:Q67" si="3">(($L$16*P4)/($L$17+P4))</f>
        <v>0.51720047449584827</v>
      </c>
    </row>
    <row r="5" spans="1:17" x14ac:dyDescent="0.2">
      <c r="A5" s="5"/>
      <c r="B5" s="6">
        <v>4.4880950000000001E-3</v>
      </c>
      <c r="C5" s="7">
        <f t="shared" si="0"/>
        <v>0.26928570000000002</v>
      </c>
      <c r="D5" s="2">
        <f t="shared" si="1"/>
        <v>26.928570000000001</v>
      </c>
      <c r="E5" s="1">
        <f t="shared" si="2"/>
        <v>1.7942810501066095</v>
      </c>
      <c r="F5" s="8"/>
      <c r="G5" s="8"/>
      <c r="H5" s="5"/>
      <c r="I5" s="5"/>
      <c r="L5">
        <v>0.05</v>
      </c>
      <c r="M5">
        <f>F28</f>
        <v>0.17186601008562621</v>
      </c>
      <c r="N5">
        <f>G28</f>
        <v>1.4268303003722943E-2</v>
      </c>
      <c r="P5">
        <f t="shared" ref="P5:P68" si="4">P4+0.1</f>
        <v>0.2</v>
      </c>
      <c r="Q5">
        <f t="shared" si="3"/>
        <v>0.91393967625480377</v>
      </c>
    </row>
    <row r="6" spans="1:17" x14ac:dyDescent="0.2">
      <c r="A6">
        <v>7.5</v>
      </c>
      <c r="B6" s="1">
        <v>6.2470238095238091E-3</v>
      </c>
      <c r="C6" s="4">
        <f t="shared" si="0"/>
        <v>0.37482142857142853</v>
      </c>
      <c r="D6" s="2">
        <f t="shared" si="1"/>
        <v>37.482142857142854</v>
      </c>
      <c r="E6" s="1">
        <f t="shared" si="2"/>
        <v>2.4974775357904351</v>
      </c>
      <c r="F6" s="2"/>
      <c r="G6" s="2"/>
      <c r="L6">
        <v>0.1</v>
      </c>
      <c r="M6">
        <f>F25</f>
        <v>0.41935306460892807</v>
      </c>
      <c r="N6">
        <f>G25</f>
        <v>6.3064792481765219E-2</v>
      </c>
      <c r="P6">
        <f t="shared" si="4"/>
        <v>0.30000000000000004</v>
      </c>
      <c r="Q6">
        <f t="shared" si="3"/>
        <v>1.2279127985814127</v>
      </c>
    </row>
    <row r="7" spans="1:17" x14ac:dyDescent="0.2">
      <c r="B7" s="1">
        <v>4.3154761904761908E-3</v>
      </c>
      <c r="C7" s="4">
        <f t="shared" si="0"/>
        <v>0.25892857142857145</v>
      </c>
      <c r="D7" s="2">
        <f t="shared" si="1"/>
        <v>25.892857142857146</v>
      </c>
      <c r="E7" s="1">
        <f t="shared" si="2"/>
        <v>1.7252703320134022</v>
      </c>
      <c r="F7" s="9">
        <f>AVERAGE(E6:E8)</f>
        <v>2.0151950705655399</v>
      </c>
      <c r="G7" s="9">
        <f>_xlfn.STDEV.P(E6:E8)</f>
        <v>0.34334347491427997</v>
      </c>
      <c r="H7" s="10"/>
      <c r="I7" s="10"/>
      <c r="L7">
        <v>0.25</v>
      </c>
      <c r="M7">
        <f>F22</f>
        <v>1.0951830981148676</v>
      </c>
      <c r="N7">
        <f>G22</f>
        <v>9.6850331407666454E-2</v>
      </c>
      <c r="P7">
        <f t="shared" si="4"/>
        <v>0.4</v>
      </c>
      <c r="Q7">
        <f t="shared" si="3"/>
        <v>1.4825729668461323</v>
      </c>
    </row>
    <row r="8" spans="1:17" x14ac:dyDescent="0.2">
      <c r="A8" s="5"/>
      <c r="B8" s="11">
        <v>4.5595238095238111E-3</v>
      </c>
      <c r="C8" s="7">
        <f t="shared" si="0"/>
        <v>0.27357142857142869</v>
      </c>
      <c r="D8" s="2">
        <f t="shared" si="1"/>
        <v>27.357142857142868</v>
      </c>
      <c r="E8" s="1">
        <f t="shared" si="2"/>
        <v>1.8228373438927814</v>
      </c>
      <c r="F8" s="12"/>
      <c r="G8" s="12"/>
      <c r="H8" s="13"/>
      <c r="I8" s="13"/>
      <c r="L8">
        <v>0.5</v>
      </c>
      <c r="M8">
        <f>F19</f>
        <v>1.6949293710021318</v>
      </c>
      <c r="N8">
        <f>G19</f>
        <v>4.3429218702406458E-2</v>
      </c>
      <c r="P8">
        <f t="shared" si="4"/>
        <v>0.5</v>
      </c>
      <c r="Q8">
        <f t="shared" si="3"/>
        <v>1.6932769483041339</v>
      </c>
    </row>
    <row r="9" spans="1:17" x14ac:dyDescent="0.2">
      <c r="A9">
        <v>5</v>
      </c>
      <c r="B9" s="1">
        <v>7.5119047619047613E-3</v>
      </c>
      <c r="C9" s="4">
        <f t="shared" si="0"/>
        <v>0.45071428571428568</v>
      </c>
      <c r="D9" s="2">
        <f t="shared" si="1"/>
        <v>45.071428571428569</v>
      </c>
      <c r="E9" s="1">
        <f t="shared" si="2"/>
        <v>3.0031602193116047</v>
      </c>
      <c r="F9" s="2"/>
      <c r="G9" s="2"/>
      <c r="L9">
        <v>1</v>
      </c>
      <c r="M9">
        <f>F16</f>
        <v>1.8442544928419122</v>
      </c>
      <c r="N9">
        <f>G16</f>
        <v>0.24510737130673116</v>
      </c>
      <c r="P9">
        <f t="shared" si="4"/>
        <v>0.6</v>
      </c>
      <c r="Q9">
        <f t="shared" si="3"/>
        <v>1.8705013108763011</v>
      </c>
    </row>
    <row r="10" spans="1:17" x14ac:dyDescent="0.2">
      <c r="B10" s="1">
        <v>5.3928571428571428E-3</v>
      </c>
      <c r="C10" s="4">
        <f t="shared" si="0"/>
        <v>0.32357142857142857</v>
      </c>
      <c r="D10" s="2">
        <f t="shared" si="1"/>
        <v>32.357142857142854</v>
      </c>
      <c r="E10" s="1">
        <f t="shared" si="2"/>
        <v>2.1559929942126099</v>
      </c>
      <c r="F10" s="2">
        <f>AVERAGE(E9:E11)</f>
        <v>2.6107768978238055</v>
      </c>
      <c r="G10" s="2">
        <f>_xlfn.STDEV.P(E9:E11)</f>
        <v>0.34865785646053743</v>
      </c>
      <c r="L10">
        <v>2.5</v>
      </c>
      <c r="M10">
        <f>F13</f>
        <v>3.1057510068704093</v>
      </c>
      <c r="N10">
        <f>G13</f>
        <v>0.17538446879751601</v>
      </c>
      <c r="P10">
        <f t="shared" si="4"/>
        <v>0.7</v>
      </c>
      <c r="Q10">
        <f t="shared" si="3"/>
        <v>2.0216383307573418</v>
      </c>
    </row>
    <row r="11" spans="1:17" x14ac:dyDescent="0.2">
      <c r="A11" s="5"/>
      <c r="B11" s="11">
        <v>6.6865079365079358E-3</v>
      </c>
      <c r="C11" s="7">
        <f t="shared" si="0"/>
        <v>0.40119047619047615</v>
      </c>
      <c r="D11" s="2">
        <f t="shared" si="1"/>
        <v>40.119047619047613</v>
      </c>
      <c r="E11" s="1">
        <f t="shared" si="2"/>
        <v>2.6731774799472019</v>
      </c>
      <c r="F11" s="8"/>
      <c r="G11" s="8"/>
      <c r="H11" s="5"/>
      <c r="I11" s="5"/>
      <c r="L11">
        <v>5</v>
      </c>
      <c r="M11">
        <f>F10</f>
        <v>2.6107768978238055</v>
      </c>
      <c r="N11">
        <f>G10</f>
        <v>0.34865785646053743</v>
      </c>
      <c r="P11">
        <f t="shared" si="4"/>
        <v>0.79999999999999993</v>
      </c>
      <c r="Q11">
        <f t="shared" si="3"/>
        <v>2.1520531980530611</v>
      </c>
    </row>
    <row r="12" spans="1:17" x14ac:dyDescent="0.2">
      <c r="A12">
        <v>2.5</v>
      </c>
      <c r="B12" s="1">
        <v>7.4523809523809525E-3</v>
      </c>
      <c r="C12" s="4">
        <f t="shared" si="0"/>
        <v>0.44714285714285718</v>
      </c>
      <c r="D12" s="2">
        <f t="shared" si="1"/>
        <v>44.714285714285715</v>
      </c>
      <c r="E12" s="1">
        <f t="shared" si="2"/>
        <v>2.9793633871459027</v>
      </c>
      <c r="F12" s="2"/>
      <c r="G12" s="2"/>
      <c r="L12">
        <v>7.5</v>
      </c>
      <c r="M12">
        <f>F7</f>
        <v>2.0151950705655399</v>
      </c>
      <c r="N12">
        <f>G7</f>
        <v>0.34334347491427997</v>
      </c>
      <c r="P12">
        <f t="shared" si="4"/>
        <v>0.89999999999999991</v>
      </c>
      <c r="Q12">
        <f t="shared" si="3"/>
        <v>2.2657342657342654</v>
      </c>
    </row>
    <row r="13" spans="1:17" x14ac:dyDescent="0.2">
      <c r="B13" s="1">
        <v>8.3888888888888884E-3</v>
      </c>
      <c r="C13" s="4">
        <f t="shared" si="0"/>
        <v>0.5033333333333333</v>
      </c>
      <c r="D13" s="2">
        <f t="shared" si="1"/>
        <v>50.333333333333329</v>
      </c>
      <c r="E13" s="1">
        <f t="shared" si="2"/>
        <v>3.3537668798862819</v>
      </c>
      <c r="F13" s="2">
        <f>AVERAGE(E12:E14)</f>
        <v>3.1057510068704093</v>
      </c>
      <c r="G13" s="2">
        <f>_xlfn.STDEV.P(E12:E14)</f>
        <v>0.17538446879751601</v>
      </c>
      <c r="L13">
        <v>10</v>
      </c>
      <c r="M13">
        <f>F4</f>
        <v>1.7963964552238803</v>
      </c>
      <c r="N13">
        <f>G4</f>
        <v>0.22539327371960088</v>
      </c>
      <c r="P13">
        <f t="shared" si="4"/>
        <v>0.99999999999999989</v>
      </c>
      <c r="Q13">
        <f t="shared" si="3"/>
        <v>2.3657080846446013</v>
      </c>
    </row>
    <row r="14" spans="1:17" x14ac:dyDescent="0.2">
      <c r="A14" s="5"/>
      <c r="B14" s="11">
        <v>7.464285714285715E-3</v>
      </c>
      <c r="C14" s="7">
        <f t="shared" si="0"/>
        <v>0.4478571428571429</v>
      </c>
      <c r="D14" s="2">
        <f t="shared" si="1"/>
        <v>44.785714285714292</v>
      </c>
      <c r="E14" s="1">
        <f t="shared" si="2"/>
        <v>2.9841227535790433</v>
      </c>
      <c r="F14" s="8"/>
      <c r="G14" s="8"/>
      <c r="H14" s="5"/>
      <c r="I14" s="5"/>
      <c r="P14">
        <f t="shared" si="4"/>
        <v>1.0999999999999999</v>
      </c>
      <c r="Q14">
        <f t="shared" si="3"/>
        <v>2.4543128447148463</v>
      </c>
    </row>
    <row r="15" spans="1:17" x14ac:dyDescent="0.2">
      <c r="A15">
        <v>1</v>
      </c>
      <c r="B15" s="1">
        <v>4.0000000000000001E-3</v>
      </c>
      <c r="C15" s="4">
        <f t="shared" si="0"/>
        <v>0.24</v>
      </c>
      <c r="D15" s="2">
        <f t="shared" si="1"/>
        <v>24</v>
      </c>
      <c r="E15" s="1">
        <f t="shared" si="2"/>
        <v>1.5991471215351809</v>
      </c>
      <c r="F15" s="2"/>
      <c r="G15" s="2"/>
      <c r="K15" t="s">
        <v>58</v>
      </c>
      <c r="P15">
        <f t="shared" si="4"/>
        <v>1.2</v>
      </c>
      <c r="Q15">
        <f t="shared" si="3"/>
        <v>2.5333835476408244</v>
      </c>
    </row>
    <row r="16" spans="1:17" x14ac:dyDescent="0.2">
      <c r="B16" s="1">
        <v>3.4960317460317452E-3</v>
      </c>
      <c r="C16" s="4">
        <f t="shared" si="0"/>
        <v>0.20976190476190471</v>
      </c>
      <c r="D16" s="2">
        <f t="shared" si="1"/>
        <v>20.976190476190471</v>
      </c>
      <c r="E16" s="1"/>
      <c r="F16" s="2">
        <f>AVERAGE(E15:E17)</f>
        <v>1.8442544928419122</v>
      </c>
      <c r="G16" s="2">
        <f>STDEVP(E15:E17)</f>
        <v>0.24510737130673116</v>
      </c>
      <c r="K16" t="s">
        <v>3</v>
      </c>
      <c r="L16">
        <v>3.9239999999999999</v>
      </c>
      <c r="M16" t="s">
        <v>6</v>
      </c>
      <c r="P16">
        <f t="shared" si="4"/>
        <v>1.3</v>
      </c>
      <c r="Q16">
        <f t="shared" si="3"/>
        <v>2.6043804564251802</v>
      </c>
    </row>
    <row r="17" spans="1:17" x14ac:dyDescent="0.2">
      <c r="A17" s="5"/>
      <c r="B17" s="11">
        <v>5.2261904761904754E-3</v>
      </c>
      <c r="C17" s="7">
        <f t="shared" si="0"/>
        <v>0.3135714285714285</v>
      </c>
      <c r="D17" s="2">
        <f t="shared" si="1"/>
        <v>31.357142857142851</v>
      </c>
      <c r="E17" s="1">
        <f t="shared" si="2"/>
        <v>2.0893618641486436</v>
      </c>
      <c r="F17" s="8"/>
      <c r="G17" s="8"/>
      <c r="H17" s="5"/>
      <c r="I17" s="5"/>
      <c r="K17" t="s">
        <v>4</v>
      </c>
      <c r="L17">
        <v>0.65869999999999995</v>
      </c>
      <c r="M17" t="s">
        <v>5</v>
      </c>
      <c r="P17">
        <f t="shared" si="4"/>
        <v>1.4000000000000001</v>
      </c>
      <c r="Q17">
        <f t="shared" si="3"/>
        <v>2.6684801088065289</v>
      </c>
    </row>
    <row r="18" spans="1:17" x14ac:dyDescent="0.2">
      <c r="B18" s="1">
        <v>4.348214285714286E-3</v>
      </c>
      <c r="C18" s="4">
        <f t="shared" si="0"/>
        <v>0.26089285714285715</v>
      </c>
      <c r="D18" s="2">
        <f t="shared" si="1"/>
        <v>26.089285714285715</v>
      </c>
      <c r="E18" s="1">
        <f t="shared" si="2"/>
        <v>1.7383585897045384</v>
      </c>
      <c r="F18" s="2"/>
      <c r="G18" s="2"/>
      <c r="P18">
        <f t="shared" si="4"/>
        <v>1.5000000000000002</v>
      </c>
      <c r="Q18">
        <f t="shared" si="3"/>
        <v>2.7266410339556217</v>
      </c>
    </row>
    <row r="19" spans="1:17" x14ac:dyDescent="0.2">
      <c r="A19">
        <v>0.5</v>
      </c>
      <c r="B19" s="1">
        <v>4.130952380952381E-3</v>
      </c>
      <c r="C19" s="4">
        <f t="shared" si="0"/>
        <v>0.24785714285714286</v>
      </c>
      <c r="D19" s="2">
        <f t="shared" si="1"/>
        <v>24.785714285714285</v>
      </c>
      <c r="E19" s="1">
        <f t="shared" si="2"/>
        <v>1.6515001522997255</v>
      </c>
      <c r="F19" s="2">
        <f>AVERAGE(E18:E20)</f>
        <v>1.6949293710021318</v>
      </c>
      <c r="G19" s="2">
        <f>_xlfn.STDEV.P(E18:E20)</f>
        <v>4.3429218702406458E-2</v>
      </c>
      <c r="P19">
        <f t="shared" si="4"/>
        <v>1.6000000000000003</v>
      </c>
      <c r="Q19">
        <f t="shared" si="3"/>
        <v>2.7796520122194188</v>
      </c>
    </row>
    <row r="20" spans="1:17" x14ac:dyDescent="0.2">
      <c r="A20" s="5"/>
      <c r="B20" s="11">
        <v>5.0952380952380954E-3</v>
      </c>
      <c r="C20" s="7">
        <f t="shared" si="0"/>
        <v>0.30571428571428572</v>
      </c>
      <c r="D20" s="2">
        <f t="shared" si="1"/>
        <v>30.571428571428569</v>
      </c>
      <c r="E20" s="1"/>
      <c r="F20" s="8"/>
      <c r="G20" s="8"/>
      <c r="H20" s="5"/>
      <c r="I20" s="5"/>
      <c r="P20">
        <f t="shared" si="4"/>
        <v>1.7000000000000004</v>
      </c>
      <c r="Q20">
        <f t="shared" si="3"/>
        <v>2.8281680586763898</v>
      </c>
    </row>
    <row r="21" spans="1:17" x14ac:dyDescent="0.2">
      <c r="A21">
        <v>0.25</v>
      </c>
      <c r="B21" s="1">
        <v>2.9087301587301584E-3</v>
      </c>
      <c r="C21" s="4">
        <f t="shared" si="0"/>
        <v>0.1745238095238095</v>
      </c>
      <c r="D21" s="2">
        <f t="shared" si="1"/>
        <v>17.452380952380949</v>
      </c>
      <c r="E21" s="1">
        <f t="shared" si="2"/>
        <v>1.1628718651639756</v>
      </c>
      <c r="F21" s="2"/>
      <c r="G21" s="2"/>
      <c r="P21">
        <f t="shared" si="4"/>
        <v>1.8000000000000005</v>
      </c>
      <c r="Q21">
        <f t="shared" si="3"/>
        <v>2.8727376255744912</v>
      </c>
    </row>
    <row r="22" spans="1:17" x14ac:dyDescent="0.2">
      <c r="B22" s="1">
        <v>2.9126984126984137E-3</v>
      </c>
      <c r="C22" s="4">
        <f t="shared" si="0"/>
        <v>0.17476190476190481</v>
      </c>
      <c r="D22" s="2">
        <f t="shared" si="1"/>
        <v>17.476190476190482</v>
      </c>
      <c r="E22" s="1">
        <f t="shared" si="2"/>
        <v>1.1644583206416896</v>
      </c>
      <c r="F22" s="2">
        <f>AVERAGE(E21:E23)</f>
        <v>1.0951830981148676</v>
      </c>
      <c r="G22" s="2">
        <f>_xlfn.STDEV.P(E21:E23)</f>
        <v>9.6850331407666454E-2</v>
      </c>
      <c r="P22">
        <f t="shared" si="4"/>
        <v>1.9000000000000006</v>
      </c>
      <c r="Q22">
        <f t="shared" si="3"/>
        <v>2.913823425958495</v>
      </c>
    </row>
    <row r="23" spans="1:17" x14ac:dyDescent="0.2">
      <c r="A23" s="5"/>
      <c r="B23" s="11">
        <v>2.3968253968253972E-3</v>
      </c>
      <c r="C23" s="7">
        <f t="shared" si="0"/>
        <v>0.14380952380952383</v>
      </c>
      <c r="D23" s="2">
        <f t="shared" si="1"/>
        <v>14.380952380952383</v>
      </c>
      <c r="E23" s="1">
        <f t="shared" si="2"/>
        <v>0.95821910853893799</v>
      </c>
      <c r="F23" s="8"/>
      <c r="G23" s="8"/>
      <c r="H23" s="5"/>
      <c r="I23" s="5"/>
      <c r="P23">
        <f t="shared" si="4"/>
        <v>2.0000000000000004</v>
      </c>
      <c r="Q23">
        <f t="shared" si="3"/>
        <v>2.9518185579418512</v>
      </c>
    </row>
    <row r="24" spans="1:17" x14ac:dyDescent="0.2">
      <c r="A24">
        <v>0.1</v>
      </c>
      <c r="B24" s="1">
        <v>1.261904761904762E-3</v>
      </c>
      <c r="C24" s="4">
        <f t="shared" si="0"/>
        <v>7.571428571428572E-2</v>
      </c>
      <c r="D24" s="2">
        <f t="shared" si="1"/>
        <v>7.5714285714285721</v>
      </c>
      <c r="E24" s="1">
        <f t="shared" si="2"/>
        <v>0.50449284191288446</v>
      </c>
      <c r="F24" s="2"/>
      <c r="G24" s="2"/>
      <c r="P24">
        <f t="shared" si="4"/>
        <v>2.1000000000000005</v>
      </c>
      <c r="Q24">
        <f t="shared" si="3"/>
        <v>2.9870591220502414</v>
      </c>
    </row>
    <row r="25" spans="1:17" x14ac:dyDescent="0.2">
      <c r="B25" s="1">
        <v>8.8492063492063471E-4</v>
      </c>
      <c r="C25" s="4">
        <f t="shared" si="0"/>
        <v>5.3095238095238084E-2</v>
      </c>
      <c r="D25" s="2">
        <f t="shared" si="1"/>
        <v>5.3095238095238084</v>
      </c>
      <c r="E25" s="1">
        <f t="shared" si="2"/>
        <v>0.35377957153010442</v>
      </c>
      <c r="F25" s="2">
        <f>AVERAGE(E24:E26)</f>
        <v>0.41935306460892807</v>
      </c>
      <c r="G25" s="2">
        <f>_xlfn.STDEV.P(E24:E26)</f>
        <v>6.3064792481765219E-2</v>
      </c>
      <c r="P25">
        <f t="shared" si="4"/>
        <v>2.2000000000000006</v>
      </c>
      <c r="Q25">
        <f t="shared" si="3"/>
        <v>3.0198341903662507</v>
      </c>
    </row>
    <row r="26" spans="1:17" x14ac:dyDescent="0.2">
      <c r="A26" s="5"/>
      <c r="B26" s="11">
        <v>1E-3</v>
      </c>
      <c r="C26" s="7">
        <f t="shared" si="0"/>
        <v>0.06</v>
      </c>
      <c r="D26" s="2">
        <f t="shared" si="1"/>
        <v>6</v>
      </c>
      <c r="E26" s="1">
        <f t="shared" si="2"/>
        <v>0.39978678038379523</v>
      </c>
      <c r="F26" s="8"/>
      <c r="G26" s="8"/>
      <c r="H26" s="5"/>
      <c r="I26" s="5"/>
      <c r="P26">
        <f t="shared" si="4"/>
        <v>2.3000000000000007</v>
      </c>
      <c r="Q26">
        <f t="shared" si="3"/>
        <v>3.0503937540135873</v>
      </c>
    </row>
    <row r="27" spans="1:17" x14ac:dyDescent="0.2">
      <c r="A27">
        <v>0.05</v>
      </c>
      <c r="B27" s="1">
        <v>4.8015873015873014E-4</v>
      </c>
      <c r="C27" s="4">
        <f t="shared" si="0"/>
        <v>2.8809523809523809E-2</v>
      </c>
      <c r="D27" s="2">
        <f t="shared" si="1"/>
        <v>2.8809523809523809</v>
      </c>
      <c r="E27" s="1">
        <f t="shared" si="2"/>
        <v>0.19196111280333025</v>
      </c>
      <c r="F27" s="2"/>
      <c r="G27" s="2"/>
      <c r="P27">
        <f t="shared" si="4"/>
        <v>2.4000000000000008</v>
      </c>
      <c r="Q27">
        <f t="shared" si="3"/>
        <v>3.0789551116487401</v>
      </c>
    </row>
    <row r="28" spans="1:17" x14ac:dyDescent="0.2">
      <c r="B28" s="1">
        <v>4.0873015873015863E-4</v>
      </c>
      <c r="C28" s="4">
        <f t="shared" si="0"/>
        <v>2.4523809523809517E-2</v>
      </c>
      <c r="D28" s="2">
        <f t="shared" si="1"/>
        <v>2.4523809523809517</v>
      </c>
      <c r="E28" s="1">
        <f t="shared" si="2"/>
        <v>0.16340491420448769</v>
      </c>
      <c r="F28" s="2">
        <f>AVERAGE(E27:E29)</f>
        <v>0.17186601008562621</v>
      </c>
      <c r="G28" s="2">
        <f>_xlfn.STDEV.P(E27:E29)</f>
        <v>1.4268303003722943E-2</v>
      </c>
      <c r="P28">
        <f t="shared" si="4"/>
        <v>2.5000000000000009</v>
      </c>
      <c r="Q28">
        <f t="shared" si="3"/>
        <v>3.105708044448666</v>
      </c>
    </row>
    <row r="29" spans="1:17" x14ac:dyDescent="0.2">
      <c r="A29" s="5"/>
      <c r="B29" s="11">
        <v>4.0079365079365072E-4</v>
      </c>
      <c r="C29" s="7">
        <f t="shared" si="0"/>
        <v>2.4047619047619043E-2</v>
      </c>
      <c r="D29" s="2">
        <f t="shared" si="1"/>
        <v>2.4047619047619042</v>
      </c>
      <c r="E29" s="1">
        <f t="shared" si="2"/>
        <v>0.16023200324906076</v>
      </c>
      <c r="F29" s="8"/>
      <c r="G29" s="8"/>
      <c r="H29" s="5"/>
      <c r="I29" s="5"/>
      <c r="P29">
        <f t="shared" si="4"/>
        <v>2.600000000000001</v>
      </c>
      <c r="Q29">
        <f t="shared" si="3"/>
        <v>3.130819038266794</v>
      </c>
    </row>
    <row r="30" spans="1:17" x14ac:dyDescent="0.2">
      <c r="B30" s="1">
        <v>2.2916666666666672E-4</v>
      </c>
      <c r="C30" s="4">
        <f t="shared" si="0"/>
        <v>1.3750000000000004E-2</v>
      </c>
      <c r="D30" s="2">
        <f t="shared" si="1"/>
        <v>1.3750000000000002</v>
      </c>
      <c r="E30" s="1">
        <f t="shared" si="2"/>
        <v>9.1617803837953093E-2</v>
      </c>
      <c r="F30" s="2"/>
      <c r="G30" s="2"/>
      <c r="P30">
        <f t="shared" si="4"/>
        <v>2.7000000000000011</v>
      </c>
      <c r="Q30">
        <f t="shared" si="3"/>
        <v>3.1544347515407751</v>
      </c>
    </row>
    <row r="31" spans="1:17" x14ac:dyDescent="0.2">
      <c r="A31">
        <v>2.5000000000000001E-2</v>
      </c>
      <c r="B31" s="1">
        <v>1.6071428571428554E-4</v>
      </c>
      <c r="C31" s="4">
        <f t="shared" si="0"/>
        <v>9.6428571428571318E-3</v>
      </c>
      <c r="D31" s="2">
        <f t="shared" si="1"/>
        <v>0.96428571428571319</v>
      </c>
      <c r="E31" s="1">
        <f t="shared" si="2"/>
        <v>6.4251446847395588E-2</v>
      </c>
      <c r="F31" s="2">
        <f>AVERAGE(E30:E32)</f>
        <v>8.0512615493958745E-2</v>
      </c>
      <c r="G31" s="2">
        <f>_xlfn.STDEV.P(E30:E32)</f>
        <v>1.1752091257701568E-2</v>
      </c>
      <c r="P31">
        <f t="shared" si="4"/>
        <v>2.8000000000000012</v>
      </c>
      <c r="Q31">
        <f t="shared" si="3"/>
        <v>3.1766848816029145</v>
      </c>
    </row>
    <row r="32" spans="1:17" x14ac:dyDescent="0.2">
      <c r="A32" s="5"/>
      <c r="B32" s="11">
        <v>2.142857142857143E-4</v>
      </c>
      <c r="C32" s="7">
        <f t="shared" si="0"/>
        <v>1.2857142857142859E-2</v>
      </c>
      <c r="D32" s="2">
        <f t="shared" si="1"/>
        <v>1.2857142857142858</v>
      </c>
      <c r="E32" s="1">
        <f t="shared" si="2"/>
        <v>8.5668595796527552E-2</v>
      </c>
      <c r="F32" s="8"/>
      <c r="G32" s="8"/>
      <c r="H32" s="5"/>
      <c r="I32" s="5"/>
      <c r="P32">
        <f t="shared" si="4"/>
        <v>2.9000000000000012</v>
      </c>
      <c r="Q32">
        <f t="shared" si="3"/>
        <v>3.1976845477281031</v>
      </c>
    </row>
    <row r="33" spans="1:17" x14ac:dyDescent="0.2">
      <c r="P33">
        <f t="shared" si="4"/>
        <v>3.0000000000000013</v>
      </c>
      <c r="Q33">
        <f t="shared" si="3"/>
        <v>3.2175362833793426</v>
      </c>
    </row>
    <row r="34" spans="1:17" x14ac:dyDescent="0.2">
      <c r="P34">
        <f t="shared" si="4"/>
        <v>3.1000000000000014</v>
      </c>
      <c r="Q34">
        <f t="shared" si="3"/>
        <v>3.2363317104317986</v>
      </c>
    </row>
    <row r="35" spans="1:17" x14ac:dyDescent="0.2">
      <c r="A35" t="s">
        <v>0</v>
      </c>
      <c r="B35">
        <v>0.01</v>
      </c>
      <c r="P35">
        <f t="shared" si="4"/>
        <v>3.2000000000000015</v>
      </c>
      <c r="Q35">
        <f t="shared" si="3"/>
        <v>3.2541529530670954</v>
      </c>
    </row>
    <row r="36" spans="1:17" x14ac:dyDescent="0.2">
      <c r="P36">
        <f t="shared" si="4"/>
        <v>3.3000000000000016</v>
      </c>
      <c r="Q36">
        <f t="shared" si="3"/>
        <v>3.2710738373708543</v>
      </c>
    </row>
    <row r="37" spans="1:17" x14ac:dyDescent="0.2">
      <c r="A37" t="s">
        <v>1</v>
      </c>
      <c r="B37">
        <v>0.56000000000000005</v>
      </c>
      <c r="P37">
        <f t="shared" si="4"/>
        <v>3.4000000000000017</v>
      </c>
      <c r="Q37">
        <f t="shared" si="3"/>
        <v>3.2871609135930226</v>
      </c>
    </row>
    <row r="38" spans="1:17" x14ac:dyDescent="0.2">
      <c r="A38" t="s">
        <v>2</v>
      </c>
      <c r="B38">
        <v>26.8</v>
      </c>
      <c r="P38">
        <f t="shared" si="4"/>
        <v>3.5000000000000018</v>
      </c>
      <c r="Q38">
        <f t="shared" si="3"/>
        <v>3.3024743309207212</v>
      </c>
    </row>
    <row r="39" spans="1:17" x14ac:dyDescent="0.2">
      <c r="P39">
        <f t="shared" si="4"/>
        <v>3.6000000000000019</v>
      </c>
      <c r="Q39">
        <f t="shared" si="3"/>
        <v>3.317068589006035</v>
      </c>
    </row>
    <row r="40" spans="1:17" x14ac:dyDescent="0.2">
      <c r="P40">
        <f t="shared" si="4"/>
        <v>3.700000000000002</v>
      </c>
      <c r="Q40">
        <f t="shared" si="3"/>
        <v>3.3309931860417104</v>
      </c>
    </row>
    <row r="41" spans="1:17" x14ac:dyDescent="0.2">
      <c r="P41">
        <f t="shared" si="4"/>
        <v>3.800000000000002</v>
      </c>
      <c r="Q41">
        <f t="shared" si="3"/>
        <v>3.3442931796263489</v>
      </c>
    </row>
    <row r="42" spans="1:17" x14ac:dyDescent="0.2">
      <c r="P42">
        <f t="shared" si="4"/>
        <v>3.9000000000000021</v>
      </c>
      <c r="Q42">
        <f t="shared" si="3"/>
        <v>3.3570096738105168</v>
      </c>
    </row>
    <row r="43" spans="1:17" x14ac:dyDescent="0.2">
      <c r="P43">
        <f t="shared" si="4"/>
        <v>4.0000000000000018</v>
      </c>
      <c r="Q43">
        <f t="shared" si="3"/>
        <v>3.3691802434155456</v>
      </c>
    </row>
    <row r="44" spans="1:17" x14ac:dyDescent="0.2">
      <c r="P44">
        <f t="shared" si="4"/>
        <v>4.1000000000000014</v>
      </c>
      <c r="Q44">
        <f t="shared" si="3"/>
        <v>3.3808393048521657</v>
      </c>
    </row>
    <row r="45" spans="1:17" x14ac:dyDescent="0.2">
      <c r="P45">
        <f t="shared" si="4"/>
        <v>4.2000000000000011</v>
      </c>
      <c r="Q45">
        <f t="shared" si="3"/>
        <v>3.3920184411468095</v>
      </c>
    </row>
    <row r="46" spans="1:17" x14ac:dyDescent="0.2">
      <c r="P46">
        <f t="shared" si="4"/>
        <v>4.3000000000000007</v>
      </c>
      <c r="Q46">
        <f t="shared" si="3"/>
        <v>3.4027466876399064</v>
      </c>
    </row>
    <row r="47" spans="1:17" x14ac:dyDescent="0.2">
      <c r="P47">
        <f t="shared" si="4"/>
        <v>4.4000000000000004</v>
      </c>
      <c r="Q47">
        <f t="shared" si="3"/>
        <v>3.4130507837982096</v>
      </c>
    </row>
    <row r="48" spans="1:17" x14ac:dyDescent="0.2">
      <c r="P48">
        <f t="shared" si="4"/>
        <v>4.5</v>
      </c>
      <c r="Q48">
        <f t="shared" si="3"/>
        <v>3.4229553957392369</v>
      </c>
    </row>
    <row r="49" spans="16:17" x14ac:dyDescent="0.2">
      <c r="P49">
        <f t="shared" si="4"/>
        <v>4.5999999999999996</v>
      </c>
      <c r="Q49">
        <f t="shared" si="3"/>
        <v>3.4324833133664217</v>
      </c>
    </row>
    <row r="50" spans="16:17" x14ac:dyDescent="0.2">
      <c r="P50">
        <f t="shared" si="4"/>
        <v>4.6999999999999993</v>
      </c>
      <c r="Q50">
        <f t="shared" si="3"/>
        <v>3.4416556254315416</v>
      </c>
    </row>
    <row r="51" spans="16:17" x14ac:dyDescent="0.2">
      <c r="P51">
        <f t="shared" si="4"/>
        <v>4.7999999999999989</v>
      </c>
      <c r="Q51">
        <f t="shared" si="3"/>
        <v>3.4504918753549383</v>
      </c>
    </row>
    <row r="52" spans="16:17" x14ac:dyDescent="0.2">
      <c r="P52">
        <f t="shared" si="4"/>
        <v>4.8999999999999986</v>
      </c>
      <c r="Q52">
        <f t="shared" si="3"/>
        <v>3.4590102002266718</v>
      </c>
    </row>
    <row r="53" spans="16:17" x14ac:dyDescent="0.2">
      <c r="P53">
        <f t="shared" si="4"/>
        <v>4.9999999999999982</v>
      </c>
      <c r="Q53">
        <f t="shared" si="3"/>
        <v>3.4672274550691857</v>
      </c>
    </row>
    <row r="54" spans="16:17" x14ac:dyDescent="0.2">
      <c r="P54">
        <f t="shared" si="4"/>
        <v>5.0999999999999979</v>
      </c>
      <c r="Q54">
        <f t="shared" si="3"/>
        <v>3.475159324153021</v>
      </c>
    </row>
    <row r="55" spans="16:17" x14ac:dyDescent="0.2">
      <c r="P55">
        <f t="shared" si="4"/>
        <v>5.1999999999999975</v>
      </c>
      <c r="Q55">
        <f t="shared" si="3"/>
        <v>3.4828204209124891</v>
      </c>
    </row>
    <row r="56" spans="16:17" x14ac:dyDescent="0.2">
      <c r="P56">
        <f t="shared" si="4"/>
        <v>5.2999999999999972</v>
      </c>
      <c r="Q56">
        <f t="shared" si="3"/>
        <v>3.4902243778005273</v>
      </c>
    </row>
    <row r="57" spans="16:17" x14ac:dyDescent="0.2">
      <c r="P57">
        <f t="shared" si="4"/>
        <v>5.3999999999999968</v>
      </c>
      <c r="Q57">
        <f t="shared" si="3"/>
        <v>3.4973839272451186</v>
      </c>
    </row>
    <row r="58" spans="16:17" x14ac:dyDescent="0.2">
      <c r="P58">
        <f t="shared" si="4"/>
        <v>5.4999999999999964</v>
      </c>
      <c r="Q58">
        <f t="shared" si="3"/>
        <v>3.5043109747186905</v>
      </c>
    </row>
    <row r="59" spans="16:17" x14ac:dyDescent="0.2">
      <c r="P59">
        <f t="shared" si="4"/>
        <v>5.5999999999999961</v>
      </c>
      <c r="Q59">
        <f t="shared" si="3"/>
        <v>3.5110166648025949</v>
      </c>
    </row>
    <row r="60" spans="16:17" x14ac:dyDescent="0.2">
      <c r="P60">
        <f t="shared" si="4"/>
        <v>5.6999999999999957</v>
      </c>
      <c r="Q60">
        <f t="shared" si="3"/>
        <v>3.5175114410178181</v>
      </c>
    </row>
    <row r="61" spans="16:17" x14ac:dyDescent="0.2">
      <c r="P61">
        <f t="shared" si="4"/>
        <v>5.7999999999999954</v>
      </c>
      <c r="Q61">
        <f t="shared" si="3"/>
        <v>3.523805100097543</v>
      </c>
    </row>
    <row r="62" spans="16:17" x14ac:dyDescent="0.2">
      <c r="P62">
        <f t="shared" si="4"/>
        <v>5.899999999999995</v>
      </c>
      <c r="Q62">
        <f t="shared" si="3"/>
        <v>3.5299068412947685</v>
      </c>
    </row>
    <row r="63" spans="16:17" x14ac:dyDescent="0.2">
      <c r="P63">
        <f t="shared" si="4"/>
        <v>5.9999999999999947</v>
      </c>
      <c r="Q63">
        <f t="shared" si="3"/>
        <v>3.5358253112469402</v>
      </c>
    </row>
    <row r="64" spans="16:17" x14ac:dyDescent="0.2">
      <c r="P64">
        <f t="shared" si="4"/>
        <v>6.0999999999999943</v>
      </c>
      <c r="Q64">
        <f t="shared" si="3"/>
        <v>3.5415686448577386</v>
      </c>
    </row>
    <row r="65" spans="16:17" x14ac:dyDescent="0.2">
      <c r="P65">
        <f t="shared" si="4"/>
        <v>6.199999999999994</v>
      </c>
      <c r="Q65">
        <f t="shared" si="3"/>
        <v>3.5471445026025337</v>
      </c>
    </row>
    <row r="66" spans="16:17" x14ac:dyDescent="0.2">
      <c r="P66">
        <f t="shared" si="4"/>
        <v>6.2999999999999936</v>
      </c>
      <c r="Q66">
        <f t="shared" si="3"/>
        <v>3.5525601046172417</v>
      </c>
    </row>
    <row r="67" spans="16:17" x14ac:dyDescent="0.2">
      <c r="P67">
        <f t="shared" si="4"/>
        <v>6.3999999999999932</v>
      </c>
      <c r="Q67">
        <f t="shared" si="3"/>
        <v>3.5578222618895827</v>
      </c>
    </row>
    <row r="68" spans="16:17" x14ac:dyDescent="0.2">
      <c r="P68">
        <f t="shared" si="4"/>
        <v>6.4999999999999929</v>
      </c>
      <c r="Q68">
        <f t="shared" ref="Q68:Q103" si="5">(($L$16*P68)/($L$17+P68))</f>
        <v>3.5629374048360734</v>
      </c>
    </row>
    <row r="69" spans="16:17" x14ac:dyDescent="0.2">
      <c r="P69">
        <f t="shared" ref="P69:P103" si="6">P68+0.1</f>
        <v>6.5999999999999925</v>
      </c>
      <c r="Q69">
        <f t="shared" si="5"/>
        <v>3.5679116095168553</v>
      </c>
    </row>
    <row r="70" spans="16:17" x14ac:dyDescent="0.2">
      <c r="P70">
        <f t="shared" si="6"/>
        <v>6.6999999999999922</v>
      </c>
      <c r="Q70">
        <f t="shared" si="5"/>
        <v>3.572750621713074</v>
      </c>
    </row>
    <row r="71" spans="16:17" x14ac:dyDescent="0.2">
      <c r="P71">
        <f t="shared" si="6"/>
        <v>6.7999999999999918</v>
      </c>
      <c r="Q71">
        <f t="shared" si="5"/>
        <v>3.5774598790673977</v>
      </c>
    </row>
    <row r="72" spans="16:17" x14ac:dyDescent="0.2">
      <c r="P72">
        <f t="shared" si="6"/>
        <v>6.8999999999999915</v>
      </c>
      <c r="Q72">
        <f t="shared" si="5"/>
        <v>3.582044531467051</v>
      </c>
    </row>
    <row r="73" spans="16:17" x14ac:dyDescent="0.2">
      <c r="P73">
        <f t="shared" si="6"/>
        <v>6.9999999999999911</v>
      </c>
      <c r="Q73">
        <f t="shared" si="5"/>
        <v>3.5865094598299971</v>
      </c>
    </row>
    <row r="74" spans="16:17" x14ac:dyDescent="0.2">
      <c r="P74">
        <f t="shared" si="6"/>
        <v>7.0999999999999908</v>
      </c>
      <c r="Q74">
        <f t="shared" si="5"/>
        <v>3.5908592934383332</v>
      </c>
    </row>
    <row r="75" spans="16:17" x14ac:dyDescent="0.2">
      <c r="P75">
        <f t="shared" si="6"/>
        <v>7.1999999999999904</v>
      </c>
      <c r="Q75">
        <f t="shared" si="5"/>
        <v>3.5950984259483119</v>
      </c>
    </row>
    <row r="76" spans="16:17" x14ac:dyDescent="0.2">
      <c r="P76">
        <f t="shared" si="6"/>
        <v>7.2999999999999901</v>
      </c>
      <c r="Q76">
        <f t="shared" si="5"/>
        <v>3.5992310301933728</v>
      </c>
    </row>
    <row r="77" spans="16:17" x14ac:dyDescent="0.2">
      <c r="P77">
        <f t="shared" si="6"/>
        <v>7.3999999999999897</v>
      </c>
      <c r="Q77">
        <f t="shared" si="5"/>
        <v>3.6032610718850431</v>
      </c>
    </row>
    <row r="78" spans="16:17" x14ac:dyDescent="0.2">
      <c r="P78">
        <f t="shared" si="6"/>
        <v>7.4999999999999893</v>
      </c>
      <c r="Q78">
        <f t="shared" si="5"/>
        <v>3.6071923223062492</v>
      </c>
    </row>
    <row r="79" spans="16:17" x14ac:dyDescent="0.2">
      <c r="P79">
        <f t="shared" si="6"/>
        <v>7.599999999999989</v>
      </c>
      <c r="Q79">
        <f t="shared" si="5"/>
        <v>3.6110283700824581</v>
      </c>
    </row>
    <row r="80" spans="16:17" x14ac:dyDescent="0.2">
      <c r="P80">
        <f t="shared" si="6"/>
        <v>7.6999999999999886</v>
      </c>
      <c r="Q80">
        <f t="shared" si="5"/>
        <v>3.6147726321078633</v>
      </c>
    </row>
    <row r="81" spans="16:17" x14ac:dyDescent="0.2">
      <c r="P81">
        <f t="shared" si="6"/>
        <v>7.7999999999999883</v>
      </c>
      <c r="Q81">
        <f t="shared" si="5"/>
        <v>3.6184283636965486</v>
      </c>
    </row>
    <row r="82" spans="16:17" x14ac:dyDescent="0.2">
      <c r="P82">
        <f t="shared" si="6"/>
        <v>7.8999999999999879</v>
      </c>
      <c r="Q82">
        <f t="shared" si="5"/>
        <v>3.6219986680220124</v>
      </c>
    </row>
    <row r="83" spans="16:17" x14ac:dyDescent="0.2">
      <c r="P83">
        <f t="shared" si="6"/>
        <v>7.9999999999999876</v>
      </c>
      <c r="Q83">
        <f t="shared" si="5"/>
        <v>3.6254865049025833</v>
      </c>
    </row>
    <row r="84" spans="16:17" x14ac:dyDescent="0.2">
      <c r="P84">
        <f t="shared" si="6"/>
        <v>8.0999999999999872</v>
      </c>
      <c r="Q84">
        <f t="shared" si="5"/>
        <v>3.6288946989850088</v>
      </c>
    </row>
    <row r="85" spans="16:17" x14ac:dyDescent="0.2">
      <c r="P85">
        <f t="shared" si="6"/>
        <v>8.1999999999999869</v>
      </c>
      <c r="Q85">
        <f t="shared" si="5"/>
        <v>3.6322259473737679</v>
      </c>
    </row>
    <row r="86" spans="16:17" x14ac:dyDescent="0.2">
      <c r="P86">
        <f t="shared" si="6"/>
        <v>8.2999999999999865</v>
      </c>
      <c r="Q86">
        <f t="shared" si="5"/>
        <v>3.6354828267494161</v>
      </c>
    </row>
    <row r="87" spans="16:17" x14ac:dyDescent="0.2">
      <c r="P87">
        <f t="shared" si="6"/>
        <v>8.3999999999999861</v>
      </c>
      <c r="Q87">
        <f t="shared" si="5"/>
        <v>3.6386678000154546</v>
      </c>
    </row>
    <row r="88" spans="16:17" x14ac:dyDescent="0.2">
      <c r="P88">
        <f t="shared" si="6"/>
        <v>8.4999999999999858</v>
      </c>
      <c r="Q88">
        <f t="shared" si="5"/>
        <v>3.6417832225097442</v>
      </c>
    </row>
    <row r="89" spans="16:17" x14ac:dyDescent="0.2">
      <c r="P89">
        <f t="shared" si="6"/>
        <v>8.5999999999999854</v>
      </c>
      <c r="Q89">
        <f t="shared" si="5"/>
        <v>3.6448313478134078</v>
      </c>
    </row>
    <row r="90" spans="16:17" x14ac:dyDescent="0.2">
      <c r="P90">
        <f t="shared" si="6"/>
        <v>8.6999999999999851</v>
      </c>
      <c r="Q90">
        <f t="shared" si="5"/>
        <v>3.6478143331873012</v>
      </c>
    </row>
    <row r="91" spans="16:17" x14ac:dyDescent="0.2">
      <c r="P91">
        <f t="shared" si="6"/>
        <v>8.7999999999999847</v>
      </c>
      <c r="Q91">
        <f t="shared" si="5"/>
        <v>3.650734244663643</v>
      </c>
    </row>
    <row r="92" spans="16:17" x14ac:dyDescent="0.2">
      <c r="P92">
        <f t="shared" si="6"/>
        <v>8.8999999999999844</v>
      </c>
      <c r="Q92">
        <f t="shared" si="5"/>
        <v>3.6535930618180292</v>
      </c>
    </row>
    <row r="93" spans="16:17" x14ac:dyDescent="0.2">
      <c r="P93">
        <f t="shared" si="6"/>
        <v>8.999999999999984</v>
      </c>
      <c r="Q93">
        <f t="shared" si="5"/>
        <v>3.6563926822450226</v>
      </c>
    </row>
    <row r="94" spans="16:17" x14ac:dyDescent="0.2">
      <c r="P94">
        <f t="shared" si="6"/>
        <v>9.0999999999999837</v>
      </c>
      <c r="Q94">
        <f t="shared" si="5"/>
        <v>3.6591349257585533</v>
      </c>
    </row>
    <row r="95" spans="16:17" x14ac:dyDescent="0.2">
      <c r="P95">
        <f t="shared" si="6"/>
        <v>9.1999999999999833</v>
      </c>
      <c r="Q95">
        <f t="shared" si="5"/>
        <v>3.6618215383366972</v>
      </c>
    </row>
    <row r="96" spans="16:17" x14ac:dyDescent="0.2">
      <c r="P96">
        <f t="shared" si="6"/>
        <v>9.2999999999999829</v>
      </c>
      <c r="Q96">
        <f t="shared" si="5"/>
        <v>3.6644541958287724</v>
      </c>
    </row>
    <row r="97" spans="16:17" x14ac:dyDescent="0.2">
      <c r="P97">
        <f t="shared" si="6"/>
        <v>9.3999999999999826</v>
      </c>
      <c r="Q97">
        <f t="shared" si="5"/>
        <v>3.6670345074413193</v>
      </c>
    </row>
    <row r="98" spans="16:17" x14ac:dyDescent="0.2">
      <c r="P98">
        <f t="shared" si="6"/>
        <v>9.4999999999999822</v>
      </c>
      <c r="Q98">
        <f t="shared" si="5"/>
        <v>3.6695640190181811</v>
      </c>
    </row>
    <row r="99" spans="16:17" x14ac:dyDescent="0.2">
      <c r="P99">
        <f t="shared" si="6"/>
        <v>9.5999999999999819</v>
      </c>
      <c r="Q99">
        <f t="shared" si="5"/>
        <v>3.6720442161287492</v>
      </c>
    </row>
    <row r="100" spans="16:17" x14ac:dyDescent="0.2">
      <c r="P100">
        <f t="shared" si="6"/>
        <v>9.6999999999999815</v>
      </c>
      <c r="Q100">
        <f t="shared" si="5"/>
        <v>3.674476526977323</v>
      </c>
    </row>
    <row r="101" spans="16:17" x14ac:dyDescent="0.2">
      <c r="P101">
        <f t="shared" si="6"/>
        <v>9.7999999999999812</v>
      </c>
      <c r="Q101">
        <f t="shared" si="5"/>
        <v>3.6768623251455725</v>
      </c>
    </row>
    <row r="102" spans="16:17" x14ac:dyDescent="0.2">
      <c r="P102">
        <f t="shared" si="6"/>
        <v>9.8999999999999808</v>
      </c>
      <c r="Q102">
        <f t="shared" si="5"/>
        <v>3.6792029321791504</v>
      </c>
    </row>
    <row r="103" spans="16:17" x14ac:dyDescent="0.2">
      <c r="P103">
        <f t="shared" si="6"/>
        <v>9.9999999999999805</v>
      </c>
      <c r="Q103">
        <f t="shared" si="5"/>
        <v>3.6814996200287089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29AFB-743E-9749-AC4C-72FD3D404527}">
  <dimension ref="A2:I34"/>
  <sheetViews>
    <sheetView workbookViewId="0">
      <selection activeCell="F31" sqref="F31:G31"/>
    </sheetView>
  </sheetViews>
  <sheetFormatPr baseColWidth="10" defaultRowHeight="13" x14ac:dyDescent="0.15"/>
  <cols>
    <col min="1" max="1" width="34.5" style="14" bestFit="1" customWidth="1"/>
    <col min="2" max="2" width="12.33203125" style="14" bestFit="1" customWidth="1"/>
    <col min="3" max="6" width="10.83203125" style="14"/>
    <col min="7" max="7" width="12.33203125" style="14" bestFit="1" customWidth="1"/>
    <col min="8" max="16384" width="10.83203125" style="14"/>
  </cols>
  <sheetData>
    <row r="2" spans="1:9" x14ac:dyDescent="0.15">
      <c r="A2" s="14" t="s">
        <v>7</v>
      </c>
      <c r="B2" s="14">
        <v>124.14</v>
      </c>
    </row>
    <row r="3" spans="1:9" x14ac:dyDescent="0.15">
      <c r="A3" s="14" t="s">
        <v>8</v>
      </c>
      <c r="B3" s="14">
        <v>470</v>
      </c>
    </row>
    <row r="4" spans="1:9" x14ac:dyDescent="0.15">
      <c r="A4" s="14" t="s">
        <v>9</v>
      </c>
      <c r="B4" s="14">
        <f>AVERAGE('Guaia before reconst'!$C$12:$C$14)</f>
        <v>0.46611111111111114</v>
      </c>
    </row>
    <row r="5" spans="1:9" x14ac:dyDescent="0.15">
      <c r="A5" s="14" t="s">
        <v>10</v>
      </c>
      <c r="B5" s="14">
        <v>0.01</v>
      </c>
    </row>
    <row r="6" spans="1:9" x14ac:dyDescent="0.15">
      <c r="A6" s="14" t="s">
        <v>11</v>
      </c>
      <c r="B6" s="14">
        <f>B4/B5</f>
        <v>46.611111111111114</v>
      </c>
    </row>
    <row r="7" spans="1:9" x14ac:dyDescent="0.15">
      <c r="A7" s="14" t="s">
        <v>12</v>
      </c>
      <c r="B7" s="14">
        <v>26.6</v>
      </c>
      <c r="D7" s="14" t="s">
        <v>13</v>
      </c>
    </row>
    <row r="8" spans="1:9" x14ac:dyDescent="0.15">
      <c r="A8" s="14" t="s">
        <v>14</v>
      </c>
      <c r="B8" s="14">
        <f>B4/B7</f>
        <v>1.7522974101921471E-2</v>
      </c>
      <c r="C8" s="14">
        <f>B8*1000</f>
        <v>17.52297410192147</v>
      </c>
      <c r="D8" s="14">
        <f>C8*1000</f>
        <v>17522.974101921471</v>
      </c>
      <c r="G8" s="14">
        <f>B8*0.0002</f>
        <v>3.5045948203842943E-6</v>
      </c>
      <c r="H8" s="14">
        <f>G8*1000</f>
        <v>3.5045948203842941E-3</v>
      </c>
      <c r="I8" s="14">
        <f>H8*1000</f>
        <v>3.5045948203842943</v>
      </c>
    </row>
    <row r="9" spans="1:9" x14ac:dyDescent="0.15">
      <c r="A9" s="14" t="s">
        <v>15</v>
      </c>
      <c r="B9" s="14">
        <v>50500</v>
      </c>
      <c r="D9" s="14" t="s">
        <v>13</v>
      </c>
    </row>
    <row r="10" spans="1:9" x14ac:dyDescent="0.15">
      <c r="A10" s="14" t="s">
        <v>16</v>
      </c>
      <c r="B10" s="14">
        <f>B5/B9</f>
        <v>1.9801980198019803E-7</v>
      </c>
      <c r="C10" s="14">
        <f>B10*1000</f>
        <v>1.9801980198019803E-4</v>
      </c>
      <c r="D10" s="14">
        <f>C10*1000</f>
        <v>0.19801980198019803</v>
      </c>
    </row>
    <row r="11" spans="1:9" x14ac:dyDescent="0.15">
      <c r="A11" s="14" t="s">
        <v>17</v>
      </c>
      <c r="B11" s="14">
        <f>(B8/B10)/60</f>
        <v>1474.850320245057</v>
      </c>
    </row>
    <row r="12" spans="1:9" x14ac:dyDescent="0.15">
      <c r="A12" s="14" t="s">
        <v>18</v>
      </c>
      <c r="B12" s="15">
        <f>B11*60</f>
        <v>88491.019214703425</v>
      </c>
    </row>
    <row r="16" spans="1:9" x14ac:dyDescent="0.15">
      <c r="A16" s="14" t="s">
        <v>7</v>
      </c>
      <c r="B16" s="14">
        <f>B2</f>
        <v>124.14</v>
      </c>
    </row>
    <row r="17" spans="1:7" x14ac:dyDescent="0.15">
      <c r="A17" s="14" t="s">
        <v>8</v>
      </c>
      <c r="B17" s="14">
        <f>B3</f>
        <v>470</v>
      </c>
    </row>
    <row r="18" spans="1:7" x14ac:dyDescent="0.15">
      <c r="A18" s="14" t="s">
        <v>9</v>
      </c>
      <c r="B18" s="14">
        <f>B4</f>
        <v>0.46611111111111114</v>
      </c>
    </row>
    <row r="19" spans="1:7" x14ac:dyDescent="0.15">
      <c r="A19" s="14" t="s">
        <v>10</v>
      </c>
      <c r="B19" s="14">
        <v>0.01</v>
      </c>
    </row>
    <row r="20" spans="1:7" x14ac:dyDescent="0.15">
      <c r="A20" s="14" t="s">
        <v>11</v>
      </c>
      <c r="B20" s="14">
        <f>B18/B19</f>
        <v>46.611111111111114</v>
      </c>
      <c r="G20" s="14">
        <f>0.2/1000</f>
        <v>2.0000000000000001E-4</v>
      </c>
    </row>
    <row r="21" spans="1:7" x14ac:dyDescent="0.15">
      <c r="A21" s="14" t="s">
        <v>19</v>
      </c>
      <c r="B21" s="14">
        <f>B7</f>
        <v>26.6</v>
      </c>
    </row>
    <row r="22" spans="1:7" x14ac:dyDescent="0.15">
      <c r="A22" s="14" t="s">
        <v>20</v>
      </c>
      <c r="B22" s="14">
        <v>200</v>
      </c>
    </row>
    <row r="23" spans="1:7" x14ac:dyDescent="0.15">
      <c r="A23" s="14" t="s">
        <v>21</v>
      </c>
      <c r="B23" s="14">
        <f>B18/B21*1000</f>
        <v>17.52297410192147</v>
      </c>
    </row>
    <row r="24" spans="1:7" x14ac:dyDescent="0.15">
      <c r="A24" s="14" t="s">
        <v>22</v>
      </c>
      <c r="B24" s="14">
        <f>B23*(B22/10^6)</f>
        <v>3.5045948203842941E-3</v>
      </c>
    </row>
    <row r="25" spans="1:7" x14ac:dyDescent="0.15">
      <c r="A25" s="14" t="s">
        <v>23</v>
      </c>
      <c r="B25" s="14">
        <f>B24*1000</f>
        <v>3.5045948203842943</v>
      </c>
    </row>
    <row r="26" spans="1:7" x14ac:dyDescent="0.15">
      <c r="A26" s="14" t="s">
        <v>24</v>
      </c>
      <c r="B26" s="14">
        <f>B25/B19</f>
        <v>350.45948203842943</v>
      </c>
    </row>
    <row r="27" spans="1:7" x14ac:dyDescent="0.15">
      <c r="A27" s="14" t="s">
        <v>25</v>
      </c>
      <c r="B27" s="14">
        <f>B25/60</f>
        <v>5.8409913673071572E-2</v>
      </c>
    </row>
    <row r="28" spans="1:7" x14ac:dyDescent="0.15">
      <c r="A28" s="16" t="s">
        <v>26</v>
      </c>
      <c r="B28" s="16">
        <f>B27/D10</f>
        <v>0.29497006404901144</v>
      </c>
      <c r="C28" s="16" t="s">
        <v>50</v>
      </c>
      <c r="D28" s="16">
        <f>B28/'Guaia before reconst'!L17</f>
        <v>0.44780638234251019</v>
      </c>
    </row>
    <row r="32" spans="1:7" x14ac:dyDescent="0.15">
      <c r="A32" s="16" t="s">
        <v>27</v>
      </c>
      <c r="B32" s="16">
        <f>D10</f>
        <v>0.19801980198019803</v>
      </c>
    </row>
    <row r="33" spans="1:2" x14ac:dyDescent="0.15">
      <c r="A33" s="16" t="s">
        <v>23</v>
      </c>
      <c r="B33" s="16">
        <f>B25</f>
        <v>3.5045948203842943</v>
      </c>
    </row>
    <row r="34" spans="1:2" x14ac:dyDescent="0.15">
      <c r="A34" s="16" t="s">
        <v>28</v>
      </c>
      <c r="B34" s="16">
        <f>B33/B32</f>
        <v>17.698203842940686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80D1B-A4FD-AD40-813A-D856AB4A5E6A}">
  <dimension ref="B2:P103"/>
  <sheetViews>
    <sheetView workbookViewId="0">
      <selection activeCell="K2" sqref="K2:M2"/>
    </sheetView>
  </sheetViews>
  <sheetFormatPr baseColWidth="10" defaultRowHeight="16" x14ac:dyDescent="0.2"/>
  <cols>
    <col min="2" max="2" width="16.33203125" bestFit="1" customWidth="1"/>
    <col min="3" max="3" width="12.83203125" bestFit="1" customWidth="1"/>
    <col min="4" max="4" width="14.6640625" bestFit="1" customWidth="1"/>
    <col min="5" max="5" width="19" bestFit="1" customWidth="1"/>
    <col min="6" max="6" width="38.83203125" bestFit="1" customWidth="1"/>
    <col min="7" max="7" width="26.83203125" bestFit="1" customWidth="1"/>
    <col min="8" max="8" width="18.33203125" bestFit="1" customWidth="1"/>
  </cols>
  <sheetData>
    <row r="2" spans="2:16" x14ac:dyDescent="0.2">
      <c r="B2" t="s">
        <v>51</v>
      </c>
      <c r="C2" s="1" t="s">
        <v>52</v>
      </c>
      <c r="D2" s="2" t="s">
        <v>59</v>
      </c>
      <c r="E2" s="2" t="s">
        <v>54</v>
      </c>
      <c r="F2" s="1" t="s">
        <v>55</v>
      </c>
      <c r="G2" s="2" t="s">
        <v>60</v>
      </c>
      <c r="H2" s="2" t="s">
        <v>57</v>
      </c>
      <c r="K2" t="s">
        <v>51</v>
      </c>
      <c r="L2" s="2" t="s">
        <v>60</v>
      </c>
      <c r="M2" s="20" t="s">
        <v>61</v>
      </c>
    </row>
    <row r="3" spans="2:16" x14ac:dyDescent="0.2">
      <c r="K3">
        <v>0</v>
      </c>
      <c r="L3">
        <v>0</v>
      </c>
      <c r="M3">
        <v>0</v>
      </c>
      <c r="O3">
        <v>0</v>
      </c>
      <c r="P3">
        <f>(($L$16*O3)/($L$17+O3))</f>
        <v>0</v>
      </c>
    </row>
    <row r="4" spans="2:16" x14ac:dyDescent="0.2">
      <c r="B4">
        <v>2.5000000000000001E-2</v>
      </c>
      <c r="C4" s="18">
        <v>2.2321428571428554E-4</v>
      </c>
      <c r="D4" s="18">
        <f>C4*60</f>
        <v>1.3392857142857133E-2</v>
      </c>
      <c r="E4" s="18">
        <f>(D4)/$C$41</f>
        <v>1.3392857142857133</v>
      </c>
      <c r="F4" s="18">
        <f>(E4)/(($C$43)*($C$44))</f>
        <v>8.9238120621382797E-2</v>
      </c>
      <c r="G4" s="18"/>
      <c r="H4" s="18"/>
      <c r="K4">
        <v>2.5000000000000001E-2</v>
      </c>
      <c r="L4" s="19">
        <f>G5</f>
        <v>5.8302238805970137E-2</v>
      </c>
      <c r="M4" s="19">
        <f>H5</f>
        <v>2.2638280524720649E-2</v>
      </c>
      <c r="O4">
        <f>O3+0.1</f>
        <v>0.1</v>
      </c>
      <c r="P4" s="19">
        <f t="shared" ref="P4:P67" si="0">(($L$16*O4)/($L$17+O4))</f>
        <v>0.70200135685210319</v>
      </c>
    </row>
    <row r="5" spans="2:16" x14ac:dyDescent="0.2">
      <c r="C5" s="18">
        <v>8.9285714285714367E-5</v>
      </c>
      <c r="D5" s="18">
        <f t="shared" ref="D5:D33" si="1">C5*60</f>
        <v>5.3571428571428624E-3</v>
      </c>
      <c r="E5" s="18">
        <f t="shared" ref="E5:E33" si="2">(D5)/$C$41</f>
        <v>0.53571428571428625</v>
      </c>
      <c r="F5" s="18">
        <f t="shared" ref="F5:F33" si="3">(E5)/(($C$43)*($C$44))</f>
        <v>3.5695248248553184E-2</v>
      </c>
      <c r="G5" s="18">
        <f>AVERAGE(F4:F6)</f>
        <v>5.8302238805970137E-2</v>
      </c>
      <c r="H5" s="18">
        <f>_xlfn.STDEV.P(F4:F6)</f>
        <v>2.2638280524720649E-2</v>
      </c>
      <c r="K5">
        <v>0.05</v>
      </c>
      <c r="L5" s="19">
        <f>G8</f>
        <v>0.16023200324906076</v>
      </c>
      <c r="M5" s="19">
        <f>H8</f>
        <v>2.2435868526834717E-3</v>
      </c>
      <c r="O5">
        <f t="shared" ref="O5:O68" si="4">O4+0.1</f>
        <v>0.2</v>
      </c>
      <c r="P5" s="19">
        <f t="shared" si="0"/>
        <v>1.2004060324825987</v>
      </c>
    </row>
    <row r="6" spans="2:16" x14ac:dyDescent="0.2">
      <c r="C6" s="18">
        <v>1.2500000000000011E-4</v>
      </c>
      <c r="D6" s="18">
        <f t="shared" si="1"/>
        <v>7.5000000000000067E-3</v>
      </c>
      <c r="E6" s="18">
        <f t="shared" si="2"/>
        <v>0.75000000000000067</v>
      </c>
      <c r="F6" s="18">
        <f t="shared" si="3"/>
        <v>4.9973347547974452E-2</v>
      </c>
      <c r="G6" s="18"/>
      <c r="H6" s="18"/>
      <c r="K6">
        <v>0.1</v>
      </c>
      <c r="L6" s="19">
        <f>G11</f>
        <v>0.41811034115138579</v>
      </c>
      <c r="M6" s="19">
        <f>H11</f>
        <v>2.2718186462196612E-2</v>
      </c>
      <c r="O6">
        <f t="shared" si="4"/>
        <v>0.30000000000000004</v>
      </c>
      <c r="P6" s="19">
        <f t="shared" si="0"/>
        <v>1.5725683890577509</v>
      </c>
    </row>
    <row r="7" spans="2:16" x14ac:dyDescent="0.2">
      <c r="B7">
        <v>0.05</v>
      </c>
      <c r="C7" s="18">
        <v>4.0873015873015863E-4</v>
      </c>
      <c r="D7" s="18">
        <f t="shared" si="1"/>
        <v>2.4523809523809517E-2</v>
      </c>
      <c r="E7" s="18">
        <f t="shared" si="2"/>
        <v>2.4523809523809517</v>
      </c>
      <c r="F7" s="18">
        <f t="shared" si="3"/>
        <v>0.16340491420448769</v>
      </c>
      <c r="G7" s="18"/>
      <c r="H7" s="18"/>
      <c r="K7">
        <v>0.25</v>
      </c>
      <c r="L7" s="19">
        <f>G14</f>
        <v>1.3067104951433308</v>
      </c>
      <c r="M7" s="19">
        <f>H14</f>
        <v>5.8237299463296574E-2</v>
      </c>
      <c r="O7">
        <f t="shared" si="4"/>
        <v>0.4</v>
      </c>
      <c r="P7" s="19">
        <f t="shared" si="0"/>
        <v>1.8610611510791371</v>
      </c>
    </row>
    <row r="8" spans="2:16" x14ac:dyDescent="0.2">
      <c r="C8" s="18">
        <v>3.9682539682539688E-4</v>
      </c>
      <c r="D8" s="18">
        <f t="shared" si="1"/>
        <v>2.3809523809523812E-2</v>
      </c>
      <c r="E8" s="18">
        <f t="shared" si="2"/>
        <v>2.3809523809523809</v>
      </c>
      <c r="F8" s="18">
        <f t="shared" si="3"/>
        <v>0.15864554777134732</v>
      </c>
      <c r="G8" s="18">
        <f>AVERAGE(F7:F9)</f>
        <v>0.16023200324906076</v>
      </c>
      <c r="H8" s="18">
        <f>_xlfn.STDEV.P(F7:F9)</f>
        <v>2.2435868526834717E-3</v>
      </c>
      <c r="K8">
        <v>0.5</v>
      </c>
      <c r="L8" s="19">
        <f>G17</f>
        <v>2.280265339966832</v>
      </c>
      <c r="M8" s="19">
        <f>H17</f>
        <v>0.16030964919815877</v>
      </c>
      <c r="O8">
        <f t="shared" si="4"/>
        <v>0.5</v>
      </c>
      <c r="P8" s="19">
        <f t="shared" si="0"/>
        <v>2.0912489894907034</v>
      </c>
    </row>
    <row r="9" spans="2:16" x14ac:dyDescent="0.2">
      <c r="C9" s="18">
        <v>3.9682539682539672E-4</v>
      </c>
      <c r="D9" s="18">
        <f t="shared" si="1"/>
        <v>2.3809523809523801E-2</v>
      </c>
      <c r="E9" s="18">
        <f t="shared" si="2"/>
        <v>2.38095238095238</v>
      </c>
      <c r="F9" s="18">
        <f t="shared" si="3"/>
        <v>0.15864554777134726</v>
      </c>
      <c r="G9" s="18"/>
      <c r="H9" s="18"/>
      <c r="K9">
        <v>1</v>
      </c>
      <c r="L9" s="19">
        <f>G20</f>
        <v>3.1118324195349771</v>
      </c>
      <c r="M9" s="19">
        <f>H20</f>
        <v>6.4251446847395588E-2</v>
      </c>
      <c r="O9">
        <f t="shared" si="4"/>
        <v>0.6</v>
      </c>
      <c r="P9" s="19">
        <f t="shared" si="0"/>
        <v>2.2791850220264318</v>
      </c>
    </row>
    <row r="10" spans="2:16" x14ac:dyDescent="0.2">
      <c r="B10">
        <v>0.1</v>
      </c>
      <c r="C10" s="18">
        <v>1.1083333333333333E-3</v>
      </c>
      <c r="D10" s="18">
        <f t="shared" si="1"/>
        <v>6.6500000000000004E-2</v>
      </c>
      <c r="E10" s="18">
        <f t="shared" si="2"/>
        <v>6.65</v>
      </c>
      <c r="F10" s="18">
        <f t="shared" si="3"/>
        <v>0.44309701492537307</v>
      </c>
      <c r="G10" s="18"/>
      <c r="H10" s="18"/>
      <c r="K10">
        <v>2.5</v>
      </c>
      <c r="L10" s="19">
        <f>G23</f>
        <v>3.2072180551324996</v>
      </c>
      <c r="M10" s="19">
        <f>H23</f>
        <v>2.915111940298476E-2</v>
      </c>
      <c r="O10">
        <f t="shared" si="4"/>
        <v>0.7</v>
      </c>
      <c r="P10" s="19">
        <f t="shared" si="0"/>
        <v>2.4355245460659045</v>
      </c>
    </row>
    <row r="11" spans="2:16" x14ac:dyDescent="0.2">
      <c r="C11" s="18">
        <v>9.7083333333333331E-4</v>
      </c>
      <c r="D11" s="18">
        <f t="shared" si="1"/>
        <v>5.8249999999999996E-2</v>
      </c>
      <c r="E11" s="18">
        <f t="shared" si="2"/>
        <v>5.8249999999999993</v>
      </c>
      <c r="F11" s="18">
        <f t="shared" si="3"/>
        <v>0.38812633262260116</v>
      </c>
      <c r="G11" s="18">
        <f>AVERAGE(F10:F12)</f>
        <v>0.41811034115138579</v>
      </c>
      <c r="H11" s="18">
        <f>_xlfn.STDEV.P(F10:F12)</f>
        <v>2.2718186462196612E-2</v>
      </c>
      <c r="K11">
        <v>5</v>
      </c>
      <c r="L11" s="19">
        <f>G25</f>
        <v>3.0608014350018613</v>
      </c>
      <c r="M11" s="19">
        <f>H25</f>
        <v>0.2258729818120653</v>
      </c>
      <c r="O11">
        <f t="shared" si="4"/>
        <v>0.79999999999999993</v>
      </c>
      <c r="P11" s="19">
        <f t="shared" si="0"/>
        <v>2.5676178660049631</v>
      </c>
    </row>
    <row r="12" spans="2:16" x14ac:dyDescent="0.2">
      <c r="C12" s="18">
        <v>1.0583333333333334E-3</v>
      </c>
      <c r="D12" s="18">
        <f t="shared" si="1"/>
        <v>6.3500000000000001E-2</v>
      </c>
      <c r="E12" s="18">
        <f t="shared" si="2"/>
        <v>6.35</v>
      </c>
      <c r="F12" s="18">
        <f t="shared" si="3"/>
        <v>0.42310767590618326</v>
      </c>
      <c r="G12" s="18"/>
      <c r="H12" s="18"/>
      <c r="K12">
        <v>7.5</v>
      </c>
      <c r="L12" s="19">
        <f>G29</f>
        <v>2.5288100314752766</v>
      </c>
      <c r="M12" s="19">
        <f>H29</f>
        <v>2.6969743121129763E-2</v>
      </c>
      <c r="O12">
        <f t="shared" si="4"/>
        <v>0.89999999999999991</v>
      </c>
      <c r="P12" s="19">
        <f t="shared" si="0"/>
        <v>2.6806994818652852</v>
      </c>
    </row>
    <row r="13" spans="2:16" x14ac:dyDescent="0.2">
      <c r="B13">
        <v>0.25</v>
      </c>
      <c r="C13" s="18">
        <v>3.464285714285714E-3</v>
      </c>
      <c r="D13" s="18">
        <f t="shared" si="1"/>
        <v>0.20785714285714285</v>
      </c>
      <c r="E13" s="18">
        <f t="shared" si="2"/>
        <v>20.785714285714285</v>
      </c>
      <c r="F13" s="18">
        <f t="shared" si="3"/>
        <v>1.384975632043862</v>
      </c>
      <c r="G13" s="18"/>
      <c r="H13" s="18"/>
      <c r="K13">
        <v>10</v>
      </c>
      <c r="L13" s="19">
        <f>G32</f>
        <v>2.6023158019426673</v>
      </c>
      <c r="M13" s="19">
        <f>H32</f>
        <v>6.3581490359381723E-2</v>
      </c>
      <c r="O13">
        <f t="shared" si="4"/>
        <v>0.99999999999999989</v>
      </c>
      <c r="P13" s="19">
        <f t="shared" si="0"/>
        <v>2.7785982814178301</v>
      </c>
    </row>
    <row r="14" spans="2:16" x14ac:dyDescent="0.2">
      <c r="C14" s="18">
        <v>3.2261904761904762E-3</v>
      </c>
      <c r="D14" s="18">
        <f t="shared" si="1"/>
        <v>0.19357142857142856</v>
      </c>
      <c r="E14" s="18">
        <f t="shared" si="2"/>
        <v>19.357142857142854</v>
      </c>
      <c r="F14" s="18">
        <f t="shared" si="3"/>
        <v>1.2897883033810535</v>
      </c>
      <c r="G14" s="18">
        <f>AVERAGE(F13:F15)</f>
        <v>1.3067104951433308</v>
      </c>
      <c r="H14" s="18">
        <f>_xlfn.STDEV.P(F13:F15)</f>
        <v>5.8237299463296574E-2</v>
      </c>
      <c r="O14">
        <f t="shared" si="4"/>
        <v>1.0999999999999999</v>
      </c>
      <c r="P14" s="19">
        <f t="shared" si="0"/>
        <v>2.8641796678409661</v>
      </c>
    </row>
    <row r="15" spans="2:16" x14ac:dyDescent="0.2">
      <c r="C15" s="18">
        <v>3.1150793650793649E-3</v>
      </c>
      <c r="D15" s="18">
        <f t="shared" si="1"/>
        <v>0.18690476190476191</v>
      </c>
      <c r="E15" s="18">
        <f t="shared" si="2"/>
        <v>18.69047619047619</v>
      </c>
      <c r="F15" s="18">
        <f t="shared" si="3"/>
        <v>1.2453675500050765</v>
      </c>
      <c r="G15" s="18"/>
      <c r="H15" s="18"/>
      <c r="K15" t="s">
        <v>62</v>
      </c>
      <c r="O15">
        <f t="shared" si="4"/>
        <v>1.2</v>
      </c>
      <c r="P15" s="19">
        <f t="shared" si="0"/>
        <v>2.9396306818181821</v>
      </c>
    </row>
    <row r="16" spans="2:16" x14ac:dyDescent="0.2">
      <c r="B16">
        <v>0.5</v>
      </c>
      <c r="C16" s="18">
        <v>6.2301587301587316E-3</v>
      </c>
      <c r="D16" s="18">
        <f t="shared" si="1"/>
        <v>0.37380952380952392</v>
      </c>
      <c r="E16" s="18">
        <f t="shared" si="2"/>
        <v>37.380952380952394</v>
      </c>
      <c r="F16" s="18">
        <f t="shared" si="3"/>
        <v>2.4907351000101539</v>
      </c>
      <c r="G16" s="18"/>
      <c r="H16" s="18"/>
      <c r="K16" t="s">
        <v>3</v>
      </c>
      <c r="L16">
        <v>4.1390000000000002</v>
      </c>
      <c r="M16" t="s">
        <v>35</v>
      </c>
      <c r="O16">
        <f t="shared" si="4"/>
        <v>1.3</v>
      </c>
      <c r="P16" s="19">
        <f t="shared" si="0"/>
        <v>3.0066495306213681</v>
      </c>
    </row>
    <row r="17" spans="2:16" x14ac:dyDescent="0.2">
      <c r="C17" s="18">
        <v>5.2579365079365083E-3</v>
      </c>
      <c r="D17" s="18">
        <f t="shared" si="1"/>
        <v>0.31547619047619052</v>
      </c>
      <c r="E17" s="18">
        <f t="shared" si="2"/>
        <v>31.547619047619051</v>
      </c>
      <c r="F17" s="18">
        <f t="shared" si="3"/>
        <v>2.1020535079703522</v>
      </c>
      <c r="G17" s="18">
        <f>AVERAGE(F16:F18)</f>
        <v>2.280265339966832</v>
      </c>
      <c r="H17" s="18">
        <f>_xlfn.STDEV.P(F16:F18)</f>
        <v>0.16030964919815877</v>
      </c>
      <c r="K17" t="s">
        <v>4</v>
      </c>
      <c r="L17">
        <v>0.48959999999999998</v>
      </c>
      <c r="M17" t="s">
        <v>36</v>
      </c>
      <c r="O17">
        <f t="shared" si="4"/>
        <v>1.4000000000000001</v>
      </c>
      <c r="P17" s="19">
        <f t="shared" si="0"/>
        <v>3.0665749364944963</v>
      </c>
    </row>
    <row r="18" spans="2:16" x14ac:dyDescent="0.2">
      <c r="C18" s="18">
        <v>5.6230158730158726E-3</v>
      </c>
      <c r="D18" s="18">
        <f t="shared" si="1"/>
        <v>0.33738095238095234</v>
      </c>
      <c r="E18" s="18">
        <f t="shared" si="2"/>
        <v>33.738095238095234</v>
      </c>
      <c r="F18" s="18">
        <f t="shared" si="3"/>
        <v>2.2480074119199913</v>
      </c>
      <c r="G18" s="18"/>
      <c r="H18" s="18"/>
      <c r="O18">
        <f t="shared" si="4"/>
        <v>1.5000000000000002</v>
      </c>
      <c r="P18" s="19">
        <f t="shared" si="0"/>
        <v>3.1204764776839569</v>
      </c>
    </row>
    <row r="19" spans="2:16" x14ac:dyDescent="0.2">
      <c r="B19">
        <v>1</v>
      </c>
      <c r="C19" s="18">
        <v>7.9444444444444432E-3</v>
      </c>
      <c r="D19" s="18">
        <f t="shared" si="1"/>
        <v>0.47666666666666657</v>
      </c>
      <c r="E19" s="18">
        <f t="shared" si="2"/>
        <v>47.666666666666657</v>
      </c>
      <c r="F19" s="18">
        <f t="shared" si="3"/>
        <v>3.1760838663823727</v>
      </c>
      <c r="G19" s="18"/>
      <c r="H19" s="18"/>
      <c r="O19">
        <f t="shared" si="4"/>
        <v>1.6000000000000003</v>
      </c>
      <c r="P19" s="19">
        <f t="shared" si="0"/>
        <v>3.1692189892802451</v>
      </c>
    </row>
    <row r="20" spans="2:16" x14ac:dyDescent="0.2">
      <c r="C20" s="18">
        <v>7.6230158730158726E-3</v>
      </c>
      <c r="D20" s="18">
        <f t="shared" si="1"/>
        <v>0.45738095238095233</v>
      </c>
      <c r="E20" s="18">
        <f t="shared" si="2"/>
        <v>45.738095238095234</v>
      </c>
      <c r="F20" s="18">
        <f t="shared" si="3"/>
        <v>3.0475809726875815</v>
      </c>
      <c r="G20" s="18">
        <f>AVERAGE(F19:F21)</f>
        <v>3.1118324195349771</v>
      </c>
      <c r="H20" s="18">
        <f>_xlfn.STDEV.P(F19:F21)</f>
        <v>6.4251446847395588E-2</v>
      </c>
      <c r="O20">
        <f t="shared" si="4"/>
        <v>1.7000000000000004</v>
      </c>
      <c r="P20" s="19">
        <f t="shared" si="0"/>
        <v>3.2135093167701867</v>
      </c>
    </row>
    <row r="21" spans="2:16" x14ac:dyDescent="0.2">
      <c r="C21" s="18">
        <v>8.2301587301587299E-3</v>
      </c>
      <c r="D21" s="18">
        <f t="shared" si="1"/>
        <v>0.49380952380952381</v>
      </c>
      <c r="E21" s="18">
        <f t="shared" si="2"/>
        <v>49.38095238095238</v>
      </c>
      <c r="F21" s="18"/>
      <c r="G21" s="18"/>
      <c r="H21" s="18"/>
      <c r="O21">
        <f t="shared" si="4"/>
        <v>1.8000000000000005</v>
      </c>
      <c r="P21" s="19">
        <f t="shared" si="0"/>
        <v>3.2539308176100632</v>
      </c>
    </row>
    <row r="22" spans="2:16" x14ac:dyDescent="0.2">
      <c r="B22">
        <v>2.5</v>
      </c>
      <c r="C22" s="18">
        <v>7.9494047619047617E-3</v>
      </c>
      <c r="D22" s="18">
        <f t="shared" si="1"/>
        <v>0.47696428571428573</v>
      </c>
      <c r="E22" s="18">
        <f t="shared" si="2"/>
        <v>47.696428571428569</v>
      </c>
      <c r="F22" s="18">
        <f t="shared" si="3"/>
        <v>3.178066935729515</v>
      </c>
      <c r="G22" s="18"/>
      <c r="H22" s="18"/>
      <c r="O22">
        <f t="shared" si="4"/>
        <v>1.9000000000000006</v>
      </c>
      <c r="P22" s="19">
        <f t="shared" si="0"/>
        <v>3.2909691998660868</v>
      </c>
    </row>
    <row r="23" spans="2:16" x14ac:dyDescent="0.2">
      <c r="C23" s="18">
        <v>8.0952380952380946E-3</v>
      </c>
      <c r="D23" s="18">
        <f t="shared" si="1"/>
        <v>0.48571428571428565</v>
      </c>
      <c r="E23" s="18">
        <f t="shared" si="2"/>
        <v>48.571428571428562</v>
      </c>
      <c r="F23" s="18">
        <f t="shared" si="3"/>
        <v>3.2363691745354846</v>
      </c>
      <c r="G23" s="18">
        <f>AVERAGE(F22:F24)</f>
        <v>3.2072180551324996</v>
      </c>
      <c r="H23" s="18">
        <f>_xlfn.STDEV.P(F22:F24)</f>
        <v>2.915111940298476E-2</v>
      </c>
      <c r="O23">
        <f t="shared" si="4"/>
        <v>2.0000000000000004</v>
      </c>
      <c r="P23" s="19">
        <f t="shared" si="0"/>
        <v>3.3250321336760931</v>
      </c>
    </row>
    <row r="24" spans="2:16" x14ac:dyDescent="0.2">
      <c r="C24" s="18">
        <v>7.7648809523809519E-3</v>
      </c>
      <c r="D24" s="18">
        <f t="shared" si="1"/>
        <v>0.46589285714285711</v>
      </c>
      <c r="E24" s="18">
        <f t="shared" si="2"/>
        <v>46.589285714285708</v>
      </c>
      <c r="F24" s="18"/>
      <c r="G24" s="18"/>
      <c r="H24" s="18"/>
      <c r="O24">
        <f t="shared" si="4"/>
        <v>2.1000000000000005</v>
      </c>
      <c r="P24" s="19">
        <f t="shared" si="0"/>
        <v>3.3564643188137167</v>
      </c>
    </row>
    <row r="25" spans="2:16" x14ac:dyDescent="0.2">
      <c r="B25">
        <v>5</v>
      </c>
      <c r="C25" s="18">
        <v>7.3492063492063501E-3</v>
      </c>
      <c r="D25" s="18">
        <f t="shared" si="1"/>
        <v>0.44095238095238098</v>
      </c>
      <c r="E25" s="18">
        <f t="shared" si="2"/>
        <v>44.095238095238095</v>
      </c>
      <c r="F25" s="18">
        <f t="shared" si="3"/>
        <v>2.9381155447253522</v>
      </c>
      <c r="G25" s="18">
        <f>AVERAGE(F25:F27)</f>
        <v>3.0608014350018613</v>
      </c>
      <c r="H25" s="18">
        <f>_xlfn.STDEV.P(F25:F27)</f>
        <v>0.2258729818120653</v>
      </c>
      <c r="O25">
        <f t="shared" si="4"/>
        <v>2.2000000000000006</v>
      </c>
      <c r="P25" s="19">
        <f t="shared" si="0"/>
        <v>3.385559190957764</v>
      </c>
    </row>
    <row r="26" spans="2:16" x14ac:dyDescent="0.2">
      <c r="C26" s="18">
        <v>7.1706349206349211E-3</v>
      </c>
      <c r="D26" s="18">
        <f t="shared" si="1"/>
        <v>0.43023809523809525</v>
      </c>
      <c r="E26" s="18">
        <f t="shared" si="2"/>
        <v>43.023809523809526</v>
      </c>
      <c r="F26" s="18">
        <f t="shared" si="3"/>
        <v>2.866725048228246</v>
      </c>
      <c r="G26" s="18"/>
      <c r="H26" s="18"/>
      <c r="O26">
        <f t="shared" si="4"/>
        <v>2.3000000000000007</v>
      </c>
      <c r="P26" s="19">
        <f t="shared" si="0"/>
        <v>3.4125681101233161</v>
      </c>
    </row>
    <row r="27" spans="2:16" x14ac:dyDescent="0.2">
      <c r="C27" s="18">
        <v>8.4484126984126998E-3</v>
      </c>
      <c r="D27" s="18">
        <f t="shared" si="1"/>
        <v>0.50690476190476197</v>
      </c>
      <c r="E27" s="18">
        <f t="shared" si="2"/>
        <v>50.690476190476197</v>
      </c>
      <c r="F27" s="18">
        <f t="shared" si="3"/>
        <v>3.3775637120519848</v>
      </c>
      <c r="G27" s="18"/>
      <c r="H27" s="18"/>
      <c r="O27">
        <f t="shared" si="4"/>
        <v>2.4000000000000008</v>
      </c>
      <c r="P27" s="19">
        <f t="shared" si="0"/>
        <v>3.4377076411960137</v>
      </c>
    </row>
    <row r="28" spans="2:16" x14ac:dyDescent="0.2">
      <c r="B28">
        <v>7.5</v>
      </c>
      <c r="C28" s="18">
        <v>6.2579365079365075E-3</v>
      </c>
      <c r="D28" s="18">
        <f t="shared" si="1"/>
        <v>0.37547619047619046</v>
      </c>
      <c r="E28" s="18">
        <f t="shared" si="2"/>
        <v>37.547619047619044</v>
      </c>
      <c r="F28" s="18">
        <f t="shared" si="3"/>
        <v>2.5018402883541468</v>
      </c>
      <c r="G28" s="18"/>
      <c r="H28" s="18"/>
      <c r="O28">
        <f t="shared" si="4"/>
        <v>2.5000000000000009</v>
      </c>
      <c r="P28" s="19">
        <f t="shared" si="0"/>
        <v>3.4611653732940866</v>
      </c>
    </row>
    <row r="29" spans="2:16" x14ac:dyDescent="0.2">
      <c r="C29" s="18">
        <v>5.726190476190475E-3</v>
      </c>
      <c r="D29" s="18">
        <f t="shared" si="1"/>
        <v>0.34357142857142853</v>
      </c>
      <c r="E29" s="18">
        <f t="shared" si="2"/>
        <v>34.357142857142854</v>
      </c>
      <c r="F29" s="18"/>
      <c r="G29" s="18">
        <f>AVERAGE(F28:F30)</f>
        <v>2.5288100314752766</v>
      </c>
      <c r="H29" s="18">
        <f>_xlfn.STDEV.P(F28:F30)</f>
        <v>2.6969743121129763E-2</v>
      </c>
      <c r="O29">
        <f t="shared" si="4"/>
        <v>2.600000000000001</v>
      </c>
      <c r="P29" s="19">
        <f t="shared" si="0"/>
        <v>3.4831046090108759</v>
      </c>
    </row>
    <row r="30" spans="2:16" x14ac:dyDescent="0.2">
      <c r="C30" s="18">
        <v>6.3928571428571454E-3</v>
      </c>
      <c r="D30" s="18">
        <f t="shared" si="1"/>
        <v>0.38357142857142873</v>
      </c>
      <c r="E30" s="18">
        <f t="shared" si="2"/>
        <v>38.357142857142875</v>
      </c>
      <c r="F30" s="18">
        <f t="shared" si="3"/>
        <v>2.5557797745964064</v>
      </c>
      <c r="G30" s="18"/>
      <c r="H30" s="18"/>
      <c r="O30">
        <f t="shared" si="4"/>
        <v>2.7000000000000011</v>
      </c>
      <c r="P30" s="19">
        <f t="shared" si="0"/>
        <v>3.5036681715575626</v>
      </c>
    </row>
    <row r="31" spans="2:16" x14ac:dyDescent="0.2">
      <c r="B31">
        <v>10</v>
      </c>
      <c r="C31" s="18">
        <v>6.3928571428571428E-3</v>
      </c>
      <c r="D31" s="18">
        <f t="shared" si="1"/>
        <v>0.38357142857142856</v>
      </c>
      <c r="E31" s="18">
        <f t="shared" si="2"/>
        <v>38.357142857142854</v>
      </c>
      <c r="F31" s="18">
        <f t="shared" si="3"/>
        <v>2.555779774596405</v>
      </c>
      <c r="G31" s="18"/>
      <c r="H31" s="18"/>
      <c r="O31">
        <f t="shared" si="4"/>
        <v>2.8000000000000012</v>
      </c>
      <c r="P31" s="19">
        <f t="shared" si="0"/>
        <v>3.5229815175097281</v>
      </c>
    </row>
    <row r="32" spans="2:16" x14ac:dyDescent="0.2">
      <c r="C32" s="18">
        <v>6.4007936507936517E-3</v>
      </c>
      <c r="D32" s="18">
        <f t="shared" si="1"/>
        <v>0.38404761904761908</v>
      </c>
      <c r="E32" s="18">
        <f t="shared" si="2"/>
        <v>38.404761904761905</v>
      </c>
      <c r="F32" s="18">
        <f t="shared" si="3"/>
        <v>2.5589526855518323</v>
      </c>
      <c r="G32" s="18">
        <f>AVERAGE(F31:F33)</f>
        <v>2.6023158019426673</v>
      </c>
      <c r="H32" s="18">
        <f>_xlfn.STDEV.P(F31:F33)</f>
        <v>6.3581490359381723E-2</v>
      </c>
      <c r="O32">
        <f t="shared" si="4"/>
        <v>2.9000000000000012</v>
      </c>
      <c r="P32" s="19">
        <f t="shared" si="0"/>
        <v>3.5411552985603025</v>
      </c>
    </row>
    <row r="33" spans="2:16" x14ac:dyDescent="0.2">
      <c r="C33" s="18">
        <v>6.7341269841269856E-3</v>
      </c>
      <c r="D33" s="18">
        <f t="shared" si="1"/>
        <v>0.40404761904761916</v>
      </c>
      <c r="E33" s="18">
        <f t="shared" si="2"/>
        <v>40.404761904761912</v>
      </c>
      <c r="F33" s="18">
        <f t="shared" si="3"/>
        <v>2.6922149456797646</v>
      </c>
      <c r="G33" s="18"/>
      <c r="H33" s="18"/>
      <c r="O33">
        <f t="shared" si="4"/>
        <v>3.0000000000000013</v>
      </c>
      <c r="P33" s="19">
        <f t="shared" si="0"/>
        <v>3.5582874828060529</v>
      </c>
    </row>
    <row r="34" spans="2:16" x14ac:dyDescent="0.2">
      <c r="B34" t="s">
        <v>29</v>
      </c>
      <c r="C34">
        <f>1/B4</f>
        <v>40</v>
      </c>
      <c r="D34">
        <f>1/B7</f>
        <v>20</v>
      </c>
      <c r="E34">
        <f>1/B10</f>
        <v>10</v>
      </c>
      <c r="F34">
        <f>1/B13</f>
        <v>4</v>
      </c>
      <c r="G34">
        <f>1/B16</f>
        <v>2</v>
      </c>
      <c r="H34">
        <f>1/B19</f>
        <v>1</v>
      </c>
      <c r="O34">
        <f t="shared" si="4"/>
        <v>3.1000000000000014</v>
      </c>
      <c r="P34" s="19">
        <f t="shared" si="0"/>
        <v>3.5744651214620022</v>
      </c>
    </row>
    <row r="35" spans="2:16" x14ac:dyDescent="0.2">
      <c r="B35" t="s">
        <v>30</v>
      </c>
      <c r="C35" s="19">
        <f>(1)/(AVERAGE(D4:D6))</f>
        <v>114.28571428571428</v>
      </c>
      <c r="D35">
        <f>(1)/(AVERAGE(D7:D9))</f>
        <v>41.5841584158416</v>
      </c>
      <c r="E35">
        <f>(1)/(AVERAGE(D10:D12))</f>
        <v>15.936254980079681</v>
      </c>
      <c r="F35">
        <f>(1)/(AVERAGE(D13:D15))</f>
        <v>5.0991501416430589</v>
      </c>
      <c r="G35">
        <f>(1)/(AVERAGE(D16:D18))</f>
        <v>2.9220779220779218</v>
      </c>
      <c r="H35">
        <f>(1)/(AVERAGE(D19:D21))</f>
        <v>2.1010505252626315</v>
      </c>
      <c r="O35">
        <f t="shared" si="4"/>
        <v>3.2000000000000015</v>
      </c>
      <c r="P35" s="19">
        <f t="shared" si="0"/>
        <v>3.5897658282740683</v>
      </c>
    </row>
    <row r="36" spans="2:16" x14ac:dyDescent="0.2">
      <c r="B36" t="s">
        <v>31</v>
      </c>
      <c r="C36" s="19">
        <f>SLOPE(C35:L35,C34:L34)</f>
        <v>2.8742694271083518</v>
      </c>
      <c r="O36">
        <f t="shared" si="4"/>
        <v>3.3000000000000016</v>
      </c>
      <c r="P36" s="19">
        <f t="shared" si="0"/>
        <v>3.6042590246991772</v>
      </c>
    </row>
    <row r="37" spans="2:16" x14ac:dyDescent="0.2">
      <c r="B37" t="s">
        <v>32</v>
      </c>
      <c r="C37" s="19">
        <f>INTERCEPT(C35:L35,C34:L34)</f>
        <v>-6.5650566027873154</v>
      </c>
      <c r="O37">
        <f t="shared" si="4"/>
        <v>3.4000000000000017</v>
      </c>
      <c r="P37" s="19">
        <f t="shared" si="0"/>
        <v>3.6180069930069938</v>
      </c>
    </row>
    <row r="38" spans="2:16" x14ac:dyDescent="0.2">
      <c r="B38" t="s">
        <v>33</v>
      </c>
      <c r="C38" s="19">
        <f>C37</f>
        <v>-6.5650566027873154</v>
      </c>
      <c r="E38" t="s">
        <v>4</v>
      </c>
      <c r="F38">
        <f>(C39)^-1</f>
        <v>0.43781335044210096</v>
      </c>
      <c r="O38">
        <f t="shared" si="4"/>
        <v>3.5000000000000018</v>
      </c>
      <c r="P38" s="19">
        <f t="shared" si="0"/>
        <v>3.6310657710046126</v>
      </c>
    </row>
    <row r="39" spans="2:16" x14ac:dyDescent="0.2">
      <c r="B39" t="s">
        <v>34</v>
      </c>
      <c r="C39" s="19">
        <f>(C37)*-1/C36</f>
        <v>2.2840783612244961</v>
      </c>
      <c r="E39" t="s">
        <v>3</v>
      </c>
      <c r="F39">
        <f>(C38)^-1</f>
        <v>-0.15232161129813132</v>
      </c>
      <c r="O39">
        <f t="shared" si="4"/>
        <v>3.6000000000000019</v>
      </c>
      <c r="P39" s="19">
        <f t="shared" si="0"/>
        <v>3.6434859154929584</v>
      </c>
    </row>
    <row r="40" spans="2:16" x14ac:dyDescent="0.2">
      <c r="O40">
        <f t="shared" si="4"/>
        <v>3.700000000000002</v>
      </c>
      <c r="P40" s="19">
        <f t="shared" si="0"/>
        <v>3.6553131563872445</v>
      </c>
    </row>
    <row r="41" spans="2:16" x14ac:dyDescent="0.2">
      <c r="B41" t="s">
        <v>0</v>
      </c>
      <c r="C41">
        <v>0.01</v>
      </c>
      <c r="O41">
        <f t="shared" si="4"/>
        <v>3.800000000000002</v>
      </c>
      <c r="P41" s="19">
        <f t="shared" si="0"/>
        <v>3.6665889593435295</v>
      </c>
    </row>
    <row r="42" spans="2:16" x14ac:dyDescent="0.2">
      <c r="O42">
        <f t="shared" si="4"/>
        <v>3.9000000000000021</v>
      </c>
      <c r="P42" s="19">
        <f t="shared" si="0"/>
        <v>3.6773510114816843</v>
      </c>
    </row>
    <row r="43" spans="2:16" x14ac:dyDescent="0.2">
      <c r="B43" t="s">
        <v>1</v>
      </c>
      <c r="C43">
        <v>0.56000000000000005</v>
      </c>
      <c r="O43">
        <f t="shared" si="4"/>
        <v>4.0000000000000018</v>
      </c>
      <c r="P43" s="19">
        <f t="shared" si="0"/>
        <v>3.687633642195296</v>
      </c>
    </row>
    <row r="44" spans="2:16" x14ac:dyDescent="0.2">
      <c r="B44" t="s">
        <v>2</v>
      </c>
      <c r="C44">
        <v>26.8</v>
      </c>
      <c r="O44">
        <f t="shared" si="4"/>
        <v>4.1000000000000014</v>
      </c>
      <c r="P44" s="19">
        <f t="shared" si="0"/>
        <v>3.6974681889489278</v>
      </c>
    </row>
    <row r="45" spans="2:16" x14ac:dyDescent="0.2">
      <c r="O45">
        <f t="shared" si="4"/>
        <v>4.2000000000000011</v>
      </c>
      <c r="P45" s="19">
        <f t="shared" si="0"/>
        <v>3.7068833162743089</v>
      </c>
    </row>
    <row r="46" spans="2:16" x14ac:dyDescent="0.2">
      <c r="O46">
        <f t="shared" si="4"/>
        <v>4.3000000000000007</v>
      </c>
      <c r="P46" s="19">
        <f t="shared" si="0"/>
        <v>3.7159052948054114</v>
      </c>
    </row>
    <row r="47" spans="2:16" x14ac:dyDescent="0.2">
      <c r="O47">
        <f t="shared" si="4"/>
        <v>4.4000000000000004</v>
      </c>
      <c r="P47" s="19">
        <f t="shared" si="0"/>
        <v>3.7245582460732987</v>
      </c>
    </row>
    <row r="48" spans="2:16" x14ac:dyDescent="0.2">
      <c r="O48">
        <f t="shared" si="4"/>
        <v>4.5</v>
      </c>
      <c r="P48" s="19">
        <f t="shared" si="0"/>
        <v>3.7328643578643583</v>
      </c>
    </row>
    <row r="49" spans="15:16" x14ac:dyDescent="0.2">
      <c r="O49">
        <f t="shared" si="4"/>
        <v>4.5999999999999996</v>
      </c>
      <c r="P49" s="19">
        <f t="shared" si="0"/>
        <v>3.7408440741905062</v>
      </c>
    </row>
    <row r="50" spans="15:16" x14ac:dyDescent="0.2">
      <c r="O50">
        <f t="shared" si="4"/>
        <v>4.6999999999999993</v>
      </c>
      <c r="P50" s="19">
        <f t="shared" si="0"/>
        <v>3.7485162632958224</v>
      </c>
    </row>
    <row r="51" spans="15:16" x14ac:dyDescent="0.2">
      <c r="O51">
        <f t="shared" si="4"/>
        <v>4.7999999999999989</v>
      </c>
      <c r="P51" s="19">
        <f t="shared" si="0"/>
        <v>3.7558983666061705</v>
      </c>
    </row>
    <row r="52" spans="15:16" x14ac:dyDescent="0.2">
      <c r="O52">
        <f t="shared" si="4"/>
        <v>4.8999999999999986</v>
      </c>
      <c r="P52" s="19">
        <f t="shared" si="0"/>
        <v>3.7630065310969272</v>
      </c>
    </row>
    <row r="53" spans="15:16" x14ac:dyDescent="0.2">
      <c r="O53">
        <f t="shared" si="4"/>
        <v>4.9999999999999982</v>
      </c>
      <c r="P53" s="19">
        <f t="shared" si="0"/>
        <v>3.7698557271932378</v>
      </c>
    </row>
    <row r="54" spans="15:16" x14ac:dyDescent="0.2">
      <c r="O54">
        <f t="shared" si="4"/>
        <v>5.0999999999999979</v>
      </c>
      <c r="P54" s="19">
        <f t="shared" si="0"/>
        <v>3.7764598540145982</v>
      </c>
    </row>
    <row r="55" spans="15:16" x14ac:dyDescent="0.2">
      <c r="O55">
        <f t="shared" si="4"/>
        <v>5.1999999999999975</v>
      </c>
      <c r="P55" s="19">
        <f t="shared" si="0"/>
        <v>3.7828318335208095</v>
      </c>
    </row>
    <row r="56" spans="15:16" x14ac:dyDescent="0.2">
      <c r="O56">
        <f t="shared" si="4"/>
        <v>5.2999999999999972</v>
      </c>
      <c r="P56" s="19">
        <f t="shared" si="0"/>
        <v>3.7889836949012023</v>
      </c>
    </row>
    <row r="57" spans="15:16" x14ac:dyDescent="0.2">
      <c r="O57">
        <f t="shared" si="4"/>
        <v>5.3999999999999968</v>
      </c>
      <c r="P57" s="19">
        <f t="shared" si="0"/>
        <v>3.7949266503667483</v>
      </c>
    </row>
    <row r="58" spans="15:16" x14ac:dyDescent="0.2">
      <c r="O58">
        <f t="shared" si="4"/>
        <v>5.4999999999999964</v>
      </c>
      <c r="P58" s="19">
        <f t="shared" si="0"/>
        <v>3.8006711633498065</v>
      </c>
    </row>
    <row r="59" spans="15:16" x14ac:dyDescent="0.2">
      <c r="O59">
        <f t="shared" si="4"/>
        <v>5.5999999999999961</v>
      </c>
      <c r="P59" s="19">
        <f t="shared" si="0"/>
        <v>3.8062270099842355</v>
      </c>
    </row>
    <row r="60" spans="15:16" x14ac:dyDescent="0.2">
      <c r="O60">
        <f t="shared" si="4"/>
        <v>5.6999999999999957</v>
      </c>
      <c r="P60" s="19">
        <f t="shared" si="0"/>
        <v>3.8116033346258238</v>
      </c>
    </row>
    <row r="61" spans="15:16" x14ac:dyDescent="0.2">
      <c r="O61">
        <f t="shared" si="4"/>
        <v>5.7999999999999954</v>
      </c>
      <c r="P61" s="19">
        <f t="shared" si="0"/>
        <v>3.8168087000763165</v>
      </c>
    </row>
    <row r="62" spans="15:16" x14ac:dyDescent="0.2">
      <c r="O62">
        <f t="shared" si="4"/>
        <v>5.899999999999995</v>
      </c>
      <c r="P62" s="19">
        <f t="shared" si="0"/>
        <v>3.8218511330912732</v>
      </c>
    </row>
    <row r="63" spans="15:16" x14ac:dyDescent="0.2">
      <c r="O63">
        <f t="shared" si="4"/>
        <v>5.9999999999999947</v>
      </c>
      <c r="P63" s="19">
        <f t="shared" si="0"/>
        <v>3.8267381656804731</v>
      </c>
    </row>
    <row r="64" spans="15:16" x14ac:dyDescent="0.2">
      <c r="O64">
        <f t="shared" si="4"/>
        <v>6.0999999999999943</v>
      </c>
      <c r="P64" s="19">
        <f t="shared" si="0"/>
        <v>3.8314768726478081</v>
      </c>
    </row>
    <row r="65" spans="15:16" x14ac:dyDescent="0.2">
      <c r="O65">
        <f t="shared" si="4"/>
        <v>6.199999999999994</v>
      </c>
      <c r="P65" s="19">
        <f t="shared" si="0"/>
        <v>3.8360739057641715</v>
      </c>
    </row>
    <row r="66" spans="15:16" x14ac:dyDescent="0.2">
      <c r="O66">
        <f t="shared" si="4"/>
        <v>6.2999999999999936</v>
      </c>
      <c r="P66" s="19">
        <f t="shared" si="0"/>
        <v>3.8405355249204667</v>
      </c>
    </row>
    <row r="67" spans="15:16" x14ac:dyDescent="0.2">
      <c r="O67">
        <f t="shared" si="4"/>
        <v>6.3999999999999932</v>
      </c>
      <c r="P67" s="19">
        <f t="shared" si="0"/>
        <v>3.8448676265675799</v>
      </c>
    </row>
    <row r="68" spans="15:16" x14ac:dyDescent="0.2">
      <c r="O68">
        <f t="shared" si="4"/>
        <v>6.4999999999999929</v>
      </c>
      <c r="P68" s="19">
        <f t="shared" ref="P68:P103" si="5">(($L$16*O68)/($L$17+O68))</f>
        <v>3.8490757697150051</v>
      </c>
    </row>
    <row r="69" spans="15:16" x14ac:dyDescent="0.2">
      <c r="O69">
        <f t="shared" ref="O69:O103" si="6">O68+0.1</f>
        <v>6.5999999999999925</v>
      </c>
      <c r="P69" s="19">
        <f t="shared" si="5"/>
        <v>3.8531651997291805</v>
      </c>
    </row>
    <row r="70" spans="15:16" x14ac:dyDescent="0.2">
      <c r="O70">
        <f t="shared" si="6"/>
        <v>6.6999999999999922</v>
      </c>
      <c r="P70" s="19">
        <f t="shared" si="5"/>
        <v>3.8571408701457659</v>
      </c>
    </row>
    <row r="71" spans="15:16" x14ac:dyDescent="0.2">
      <c r="O71">
        <f t="shared" si="6"/>
        <v>6.7999999999999918</v>
      </c>
      <c r="P71" s="19">
        <f t="shared" si="5"/>
        <v>3.8610074626865667</v>
      </c>
    </row>
    <row r="72" spans="15:16" x14ac:dyDescent="0.2">
      <c r="O72">
        <f t="shared" si="6"/>
        <v>6.8999999999999915</v>
      </c>
      <c r="P72" s="19">
        <f t="shared" si="5"/>
        <v>3.864769405651185</v>
      </c>
    </row>
    <row r="73" spans="15:16" x14ac:dyDescent="0.2">
      <c r="O73">
        <f t="shared" si="6"/>
        <v>6.9999999999999911</v>
      </c>
      <c r="P73" s="19">
        <f t="shared" si="5"/>
        <v>3.8684308908352913</v>
      </c>
    </row>
    <row r="74" spans="15:16" x14ac:dyDescent="0.2">
      <c r="O74">
        <f t="shared" si="6"/>
        <v>7.0999999999999908</v>
      </c>
      <c r="P74" s="19">
        <f t="shared" si="5"/>
        <v>3.8719958891114157</v>
      </c>
    </row>
    <row r="75" spans="15:16" x14ac:dyDescent="0.2">
      <c r="O75">
        <f t="shared" si="6"/>
        <v>7.1999999999999904</v>
      </c>
      <c r="P75" s="19">
        <f t="shared" si="5"/>
        <v>3.8754681647940075</v>
      </c>
    </row>
    <row r="76" spans="15:16" x14ac:dyDescent="0.2">
      <c r="O76">
        <f t="shared" si="6"/>
        <v>7.2999999999999901</v>
      </c>
      <c r="P76" s="19">
        <f t="shared" si="5"/>
        <v>3.8788512888980176</v>
      </c>
    </row>
    <row r="77" spans="15:16" x14ac:dyDescent="0.2">
      <c r="O77">
        <f t="shared" si="6"/>
        <v>7.3999999999999897</v>
      </c>
      <c r="P77" s="19">
        <f t="shared" si="5"/>
        <v>3.8821486513891705</v>
      </c>
    </row>
    <row r="78" spans="15:16" x14ac:dyDescent="0.2">
      <c r="O78">
        <f t="shared" si="6"/>
        <v>7.4999999999999893</v>
      </c>
      <c r="P78" s="19">
        <f t="shared" si="5"/>
        <v>3.8853634725142685</v>
      </c>
    </row>
    <row r="79" spans="15:16" x14ac:dyDescent="0.2">
      <c r="O79">
        <f t="shared" si="6"/>
        <v>7.599999999999989</v>
      </c>
      <c r="P79" s="19">
        <f t="shared" si="5"/>
        <v>3.8884988132911396</v>
      </c>
    </row>
    <row r="80" spans="15:16" x14ac:dyDescent="0.2">
      <c r="O80">
        <f t="shared" si="6"/>
        <v>7.6999999999999886</v>
      </c>
      <c r="P80" s="19">
        <f t="shared" si="5"/>
        <v>3.8915575852300481</v>
      </c>
    </row>
    <row r="81" spans="15:16" x14ac:dyDescent="0.2">
      <c r="O81">
        <f t="shared" si="6"/>
        <v>7.7999999999999883</v>
      </c>
      <c r="P81" s="19">
        <f t="shared" si="5"/>
        <v>3.8945425593514771</v>
      </c>
    </row>
    <row r="82" spans="15:16" x14ac:dyDescent="0.2">
      <c r="O82">
        <f t="shared" si="6"/>
        <v>7.8999999999999879</v>
      </c>
      <c r="P82" s="19">
        <f t="shared" si="5"/>
        <v>3.8974563745589781</v>
      </c>
    </row>
    <row r="83" spans="15:16" x14ac:dyDescent="0.2">
      <c r="O83">
        <f t="shared" si="6"/>
        <v>7.9999999999999876</v>
      </c>
      <c r="P83" s="19">
        <f t="shared" si="5"/>
        <v>3.9003015454202794</v>
      </c>
    </row>
    <row r="84" spans="15:16" x14ac:dyDescent="0.2">
      <c r="O84">
        <f t="shared" si="6"/>
        <v>8.0999999999999872</v>
      </c>
      <c r="P84" s="19">
        <f t="shared" si="5"/>
        <v>3.9030804694048622</v>
      </c>
    </row>
    <row r="85" spans="15:16" x14ac:dyDescent="0.2">
      <c r="O85">
        <f t="shared" si="6"/>
        <v>8.1999999999999869</v>
      </c>
      <c r="P85" s="19">
        <f t="shared" si="5"/>
        <v>3.905795433621801</v>
      </c>
    </row>
    <row r="86" spans="15:16" x14ac:dyDescent="0.2">
      <c r="O86">
        <f t="shared" si="6"/>
        <v>8.2999999999999865</v>
      </c>
      <c r="P86" s="19">
        <f t="shared" si="5"/>
        <v>3.9084486210976612</v>
      </c>
    </row>
    <row r="87" spans="15:16" x14ac:dyDescent="0.2">
      <c r="O87">
        <f t="shared" si="6"/>
        <v>8.3999999999999861</v>
      </c>
      <c r="P87" s="19">
        <f t="shared" si="5"/>
        <v>3.9110421166306697</v>
      </c>
    </row>
    <row r="88" spans="15:16" x14ac:dyDescent="0.2">
      <c r="O88">
        <f t="shared" si="6"/>
        <v>8.4999999999999858</v>
      </c>
      <c r="P88" s="19">
        <f t="shared" si="5"/>
        <v>3.9135779122541603</v>
      </c>
    </row>
    <row r="89" spans="15:16" x14ac:dyDescent="0.2">
      <c r="O89">
        <f t="shared" si="6"/>
        <v>8.5999999999999854</v>
      </c>
      <c r="P89" s="19">
        <f t="shared" si="5"/>
        <v>3.9160579123393768</v>
      </c>
    </row>
    <row r="90" spans="15:16" x14ac:dyDescent="0.2">
      <c r="O90">
        <f t="shared" si="6"/>
        <v>8.6999999999999851</v>
      </c>
      <c r="P90" s="19">
        <f t="shared" si="5"/>
        <v>3.9184839383651084</v>
      </c>
    </row>
    <row r="91" spans="15:16" x14ac:dyDescent="0.2">
      <c r="O91">
        <f t="shared" si="6"/>
        <v>8.7999999999999847</v>
      </c>
      <c r="P91" s="19">
        <f t="shared" si="5"/>
        <v>3.9208577333792629</v>
      </c>
    </row>
    <row r="92" spans="15:16" x14ac:dyDescent="0.2">
      <c r="O92">
        <f t="shared" si="6"/>
        <v>8.8999999999999844</v>
      </c>
      <c r="P92" s="19">
        <f t="shared" si="5"/>
        <v>3.9231809661753427</v>
      </c>
    </row>
    <row r="93" spans="15:16" x14ac:dyDescent="0.2">
      <c r="O93">
        <f t="shared" si="6"/>
        <v>8.999999999999984</v>
      </c>
      <c r="P93" s="19">
        <f t="shared" si="5"/>
        <v>3.925455235204856</v>
      </c>
    </row>
    <row r="94" spans="15:16" x14ac:dyDescent="0.2">
      <c r="O94">
        <f t="shared" si="6"/>
        <v>9.0999999999999837</v>
      </c>
      <c r="P94" s="19">
        <f t="shared" si="5"/>
        <v>3.9276820722449317</v>
      </c>
    </row>
    <row r="95" spans="15:16" x14ac:dyDescent="0.2">
      <c r="O95">
        <f t="shared" si="6"/>
        <v>9.1999999999999833</v>
      </c>
      <c r="P95" s="19">
        <f t="shared" si="5"/>
        <v>3.9298629458388374</v>
      </c>
    </row>
    <row r="96" spans="15:16" x14ac:dyDescent="0.2">
      <c r="O96">
        <f t="shared" si="6"/>
        <v>9.2999999999999829</v>
      </c>
      <c r="P96" s="19">
        <f t="shared" si="5"/>
        <v>3.931999264525619</v>
      </c>
    </row>
    <row r="97" spans="15:16" x14ac:dyDescent="0.2">
      <c r="O97">
        <f t="shared" si="6"/>
        <v>9.3999999999999826</v>
      </c>
      <c r="P97" s="19">
        <f t="shared" si="5"/>
        <v>3.9340923798738072</v>
      </c>
    </row>
    <row r="98" spans="15:16" x14ac:dyDescent="0.2">
      <c r="O98">
        <f t="shared" si="6"/>
        <v>9.4999999999999822</v>
      </c>
      <c r="P98" s="19">
        <f t="shared" si="5"/>
        <v>3.9361435893329064</v>
      </c>
    </row>
    <row r="99" spans="15:16" x14ac:dyDescent="0.2">
      <c r="O99">
        <f t="shared" si="6"/>
        <v>9.5999999999999819</v>
      </c>
      <c r="P99" s="19">
        <f t="shared" si="5"/>
        <v>3.9381541389153192</v>
      </c>
    </row>
    <row r="100" spans="15:16" x14ac:dyDescent="0.2">
      <c r="O100">
        <f t="shared" si="6"/>
        <v>9.6999999999999815</v>
      </c>
      <c r="P100" s="19">
        <f t="shared" si="5"/>
        <v>3.9401252257203425</v>
      </c>
    </row>
    <row r="101" spans="15:16" x14ac:dyDescent="0.2">
      <c r="O101">
        <f t="shared" si="6"/>
        <v>9.7999999999999812</v>
      </c>
      <c r="P101" s="19">
        <f t="shared" si="5"/>
        <v>3.9420580003109937</v>
      </c>
    </row>
    <row r="102" spans="15:16" x14ac:dyDescent="0.2">
      <c r="O102">
        <f t="shared" si="6"/>
        <v>9.8999999999999808</v>
      </c>
      <c r="P102" s="19">
        <f t="shared" si="5"/>
        <v>3.9439535689535692</v>
      </c>
    </row>
    <row r="103" spans="15:16" x14ac:dyDescent="0.2">
      <c r="O103">
        <f t="shared" si="6"/>
        <v>9.9999999999999805</v>
      </c>
      <c r="P103" s="19">
        <f t="shared" si="5"/>
        <v>3.9458129957291033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A8898-BE52-914A-A5E1-DEF33C62BBB4}">
  <dimension ref="B2:Q104"/>
  <sheetViews>
    <sheetView workbookViewId="0">
      <selection activeCell="Q19" sqref="Q19"/>
    </sheetView>
  </sheetViews>
  <sheetFormatPr baseColWidth="10" defaultRowHeight="16" x14ac:dyDescent="0.2"/>
  <cols>
    <col min="3" max="3" width="18.83203125" bestFit="1" customWidth="1"/>
    <col min="4" max="4" width="12.5" bestFit="1" customWidth="1"/>
    <col min="5" max="5" width="14.83203125" bestFit="1" customWidth="1"/>
    <col min="6" max="6" width="19.1640625" bestFit="1" customWidth="1"/>
    <col min="7" max="7" width="39" bestFit="1" customWidth="1"/>
    <col min="8" max="9" width="11" bestFit="1" customWidth="1"/>
    <col min="12" max="12" width="11.6640625" bestFit="1" customWidth="1"/>
    <col min="13" max="14" width="11" bestFit="1" customWidth="1"/>
    <col min="16" max="17" width="11" bestFit="1" customWidth="1"/>
  </cols>
  <sheetData>
    <row r="2" spans="2:17" x14ac:dyDescent="0.2">
      <c r="C2" t="s">
        <v>51</v>
      </c>
      <c r="D2" s="1" t="s">
        <v>52</v>
      </c>
      <c r="E2" s="2" t="s">
        <v>59</v>
      </c>
      <c r="F2" s="2" t="s">
        <v>54</v>
      </c>
      <c r="G2" s="1" t="s">
        <v>55</v>
      </c>
      <c r="H2" s="2" t="s">
        <v>60</v>
      </c>
      <c r="I2" s="2" t="s">
        <v>57</v>
      </c>
      <c r="L2" t="s">
        <v>51</v>
      </c>
      <c r="M2" s="2" t="s">
        <v>60</v>
      </c>
      <c r="N2" s="20" t="s">
        <v>61</v>
      </c>
    </row>
    <row r="3" spans="2:17" x14ac:dyDescent="0.2">
      <c r="B3">
        <v>1</v>
      </c>
      <c r="C3" s="17">
        <v>2.5000000000000001E-2</v>
      </c>
      <c r="D3" s="21">
        <v>2.8571428571428595E-4</v>
      </c>
      <c r="E3" s="19">
        <f>D3*60</f>
        <v>1.7142857142857158E-2</v>
      </c>
      <c r="F3" s="19">
        <f t="shared" ref="F3:F17" si="0">E3/$D$34</f>
        <v>1.7142857142857157</v>
      </c>
      <c r="G3" s="19">
        <f t="shared" ref="G3:G17" si="1">(F3)/($D$36*$D$37)</f>
        <v>0.11422479439537017</v>
      </c>
      <c r="H3" s="19"/>
      <c r="I3" s="19"/>
      <c r="J3" s="19"/>
      <c r="K3" s="19"/>
      <c r="L3" s="19">
        <v>0</v>
      </c>
      <c r="M3" s="19">
        <v>0</v>
      </c>
      <c r="N3" s="19">
        <v>0</v>
      </c>
      <c r="O3" s="19"/>
      <c r="P3" s="19"/>
      <c r="Q3" s="19"/>
    </row>
    <row r="4" spans="2:17" x14ac:dyDescent="0.2">
      <c r="B4">
        <v>2</v>
      </c>
      <c r="C4" s="17">
        <v>2.5000000000000001E-2</v>
      </c>
      <c r="D4" s="19">
        <v>1.9841269841269825E-4</v>
      </c>
      <c r="E4" s="19">
        <f t="shared" ref="E4:E20" si="2">D4*60</f>
        <v>1.1904761904761895E-2</v>
      </c>
      <c r="F4" s="19">
        <f t="shared" si="0"/>
        <v>1.1904761904761896</v>
      </c>
      <c r="G4" s="19">
        <f t="shared" si="1"/>
        <v>7.9322773885673603E-2</v>
      </c>
      <c r="H4" s="19">
        <f>AVERAGE(G3:G5)</f>
        <v>0.10047551358851997</v>
      </c>
      <c r="I4" s="19">
        <f>_xlfn.STDEV.P(G3:G5)</f>
        <v>1.5179946456500832E-2</v>
      </c>
      <c r="J4" s="19"/>
      <c r="K4" s="19"/>
      <c r="L4" s="19">
        <v>2.5000000000000001E-2</v>
      </c>
      <c r="M4" s="19">
        <f>H4</f>
        <v>0.10047551358851997</v>
      </c>
      <c r="N4" s="19">
        <f>I4</f>
        <v>1.5179946456500832E-2</v>
      </c>
      <c r="O4" s="19"/>
      <c r="P4" s="19">
        <v>0</v>
      </c>
      <c r="Q4" s="19">
        <f>(($M$16*P4)/($M$17+P4))</f>
        <v>0</v>
      </c>
    </row>
    <row r="5" spans="2:17" x14ac:dyDescent="0.2">
      <c r="B5">
        <v>3</v>
      </c>
      <c r="C5" s="17">
        <v>2.5000000000000001E-2</v>
      </c>
      <c r="D5" s="19">
        <v>2.6984126984126977E-4</v>
      </c>
      <c r="E5" s="19">
        <f t="shared" si="2"/>
        <v>1.6190476190476186E-2</v>
      </c>
      <c r="F5" s="19">
        <f t="shared" si="0"/>
        <v>1.6190476190476186</v>
      </c>
      <c r="G5" s="19">
        <f t="shared" si="1"/>
        <v>0.10787897248451615</v>
      </c>
      <c r="H5" s="19"/>
      <c r="I5" s="19"/>
      <c r="J5" s="19"/>
      <c r="K5" s="19"/>
      <c r="L5" s="19">
        <v>0.05</v>
      </c>
      <c r="M5" s="19">
        <f>H7</f>
        <v>0.16763546214505701</v>
      </c>
      <c r="N5" s="19">
        <f>I7</f>
        <v>8.4279799189158622E-3</v>
      </c>
      <c r="O5" s="19"/>
      <c r="P5" s="19">
        <f>P4+0.1</f>
        <v>0.1</v>
      </c>
      <c r="Q5" s="19">
        <f t="shared" ref="Q5:Q68" si="3">(($M$16*P5)/($M$17+P5))</f>
        <v>0.60839160839160844</v>
      </c>
    </row>
    <row r="6" spans="2:17" x14ac:dyDescent="0.2">
      <c r="B6">
        <v>1</v>
      </c>
      <c r="C6" s="17">
        <v>0.05</v>
      </c>
      <c r="D6" s="19">
        <v>4.2063492063492086E-4</v>
      </c>
      <c r="E6" s="19">
        <f t="shared" si="2"/>
        <v>2.523809523809525E-2</v>
      </c>
      <c r="F6" s="19">
        <f t="shared" si="0"/>
        <v>2.5238095238095251</v>
      </c>
      <c r="G6" s="19">
        <f t="shared" si="1"/>
        <v>0.16816428063762823</v>
      </c>
      <c r="H6" s="19"/>
      <c r="I6" s="19"/>
      <c r="J6" s="19"/>
      <c r="K6" s="19"/>
      <c r="L6" s="19">
        <v>0.1</v>
      </c>
      <c r="M6" s="19">
        <f>H10</f>
        <v>0.46112972552204951</v>
      </c>
      <c r="N6" s="19">
        <f>I10</f>
        <v>4.4085831473301688E-2</v>
      </c>
      <c r="O6" s="19"/>
      <c r="P6" s="19">
        <f t="shared" ref="P6:P69" si="4">P5+0.1</f>
        <v>0.2</v>
      </c>
      <c r="Q6" s="19">
        <f t="shared" si="3"/>
        <v>1.0591892241937573</v>
      </c>
    </row>
    <row r="7" spans="2:17" x14ac:dyDescent="0.2">
      <c r="B7">
        <v>2</v>
      </c>
      <c r="C7" s="17">
        <v>0.05</v>
      </c>
      <c r="D7" s="19">
        <v>3.9285714285714282E-4</v>
      </c>
      <c r="E7" s="19">
        <f t="shared" si="2"/>
        <v>2.357142857142857E-2</v>
      </c>
      <c r="F7" s="19">
        <f t="shared" si="0"/>
        <v>2.3571428571428568</v>
      </c>
      <c r="G7" s="19">
        <f t="shared" si="1"/>
        <v>0.15705909229363382</v>
      </c>
      <c r="H7" s="19">
        <f>AVERAGE(G6:G8)</f>
        <v>0.16763546214505701</v>
      </c>
      <c r="I7" s="19">
        <f>_xlfn.STDEV.P(G6:G8)</f>
        <v>8.4279799189158622E-3</v>
      </c>
      <c r="J7" s="19"/>
      <c r="K7" s="19"/>
      <c r="L7" s="19">
        <v>0.25</v>
      </c>
      <c r="M7" s="19">
        <f>H13</f>
        <v>1.2235537871865161</v>
      </c>
      <c r="N7" s="19">
        <f>I13</f>
        <v>1.6525049065894637E-2</v>
      </c>
      <c r="O7" s="19"/>
      <c r="P7" s="19">
        <f t="shared" si="4"/>
        <v>0.30000000000000004</v>
      </c>
      <c r="Q7" s="19">
        <f t="shared" si="3"/>
        <v>1.4066047471620229</v>
      </c>
    </row>
    <row r="8" spans="2:17" x14ac:dyDescent="0.2">
      <c r="B8">
        <v>3</v>
      </c>
      <c r="C8" s="17">
        <v>0.05</v>
      </c>
      <c r="D8" s="19">
        <v>4.4444444444444441E-4</v>
      </c>
      <c r="E8" s="19">
        <f t="shared" si="2"/>
        <v>2.6666666666666665E-2</v>
      </c>
      <c r="F8" s="19">
        <f t="shared" si="0"/>
        <v>2.6666666666666665</v>
      </c>
      <c r="G8" s="19">
        <f t="shared" si="1"/>
        <v>0.177683013503909</v>
      </c>
      <c r="H8" s="19"/>
      <c r="I8" s="19"/>
      <c r="J8" s="19"/>
      <c r="K8" s="19"/>
      <c r="L8" s="19">
        <v>0.5</v>
      </c>
      <c r="M8" s="19">
        <f>H16</f>
        <v>2.0888330456560724</v>
      </c>
      <c r="N8" s="19">
        <f>I16</f>
        <v>7.9241646897359394E-2</v>
      </c>
      <c r="O8" s="19"/>
      <c r="P8" s="19">
        <f t="shared" si="4"/>
        <v>0.4</v>
      </c>
      <c r="Q8" s="19">
        <f t="shared" si="3"/>
        <v>1.6825429482563523</v>
      </c>
    </row>
    <row r="9" spans="2:17" x14ac:dyDescent="0.2">
      <c r="B9">
        <v>1</v>
      </c>
      <c r="C9" s="17">
        <v>0.1</v>
      </c>
      <c r="D9" s="19">
        <v>1.3055555555555555E-3</v>
      </c>
      <c r="E9" s="19">
        <f t="shared" si="2"/>
        <v>7.8333333333333324E-2</v>
      </c>
      <c r="F9" s="19">
        <f t="shared" si="0"/>
        <v>7.8333333333333321</v>
      </c>
      <c r="G9" s="19">
        <f t="shared" si="1"/>
        <v>0.52194385216773265</v>
      </c>
      <c r="H9" s="19"/>
      <c r="I9" s="19"/>
      <c r="J9" s="19"/>
      <c r="K9" s="19"/>
      <c r="L9" s="19">
        <v>1</v>
      </c>
      <c r="M9" s="19">
        <f>H19</f>
        <v>2.2432480454868506</v>
      </c>
      <c r="N9" s="19">
        <f>I19</f>
        <v>5.5836021188594834E-2</v>
      </c>
      <c r="O9" s="19"/>
      <c r="P9" s="19">
        <f t="shared" si="4"/>
        <v>0.5</v>
      </c>
      <c r="Q9" s="19">
        <f t="shared" si="3"/>
        <v>1.9070049435686971</v>
      </c>
    </row>
    <row r="10" spans="2:17" x14ac:dyDescent="0.2">
      <c r="B10">
        <v>2</v>
      </c>
      <c r="C10" s="17">
        <v>0.1</v>
      </c>
      <c r="D10" s="19">
        <v>1.1071428571428573E-3</v>
      </c>
      <c r="E10" s="19">
        <f t="shared" si="2"/>
        <v>6.6428571428571434E-2</v>
      </c>
      <c r="F10" s="19">
        <f t="shared" si="0"/>
        <v>6.6428571428571432</v>
      </c>
      <c r="G10" s="19">
        <f t="shared" si="1"/>
        <v>0.44262107828205904</v>
      </c>
      <c r="H10" s="19">
        <f>AVERAGE(G9:G11)</f>
        <v>0.46112972552204951</v>
      </c>
      <c r="I10" s="19">
        <f>_xlfn.STDEV.P(G9:G11)</f>
        <v>4.4085831473301688E-2</v>
      </c>
      <c r="J10" s="19"/>
      <c r="K10" s="19"/>
      <c r="L10" s="19">
        <v>2.5</v>
      </c>
      <c r="M10" s="19">
        <f>H22</f>
        <v>3.2776170169560355</v>
      </c>
      <c r="N10" s="19">
        <f>I22</f>
        <v>0.18528731445765895</v>
      </c>
      <c r="O10" s="19"/>
      <c r="P10" s="19">
        <f t="shared" si="4"/>
        <v>0.6</v>
      </c>
      <c r="Q10" s="19">
        <f t="shared" si="3"/>
        <v>2.0931661121064757</v>
      </c>
    </row>
    <row r="11" spans="2:17" x14ac:dyDescent="0.2">
      <c r="B11">
        <v>3</v>
      </c>
      <c r="C11" s="17">
        <v>0.1</v>
      </c>
      <c r="D11" s="19">
        <v>1.0476190476190477E-3</v>
      </c>
      <c r="E11" s="19">
        <f t="shared" si="2"/>
        <v>6.2857142857142861E-2</v>
      </c>
      <c r="F11" s="19">
        <f t="shared" si="0"/>
        <v>6.2857142857142856</v>
      </c>
      <c r="G11" s="19">
        <f t="shared" si="1"/>
        <v>0.41882424611635694</v>
      </c>
      <c r="H11" s="19"/>
      <c r="I11" s="19"/>
      <c r="J11" s="19"/>
      <c r="K11" s="19"/>
      <c r="L11" s="19">
        <v>5</v>
      </c>
      <c r="M11" s="19">
        <f>H25</f>
        <v>2.5010470606152904</v>
      </c>
      <c r="N11" s="19">
        <f>I25</f>
        <v>0.22412228298173026</v>
      </c>
      <c r="O11" s="19"/>
      <c r="P11" s="19">
        <f t="shared" si="4"/>
        <v>0.7</v>
      </c>
      <c r="Q11" s="19">
        <f t="shared" si="3"/>
        <v>2.2500589576291175</v>
      </c>
    </row>
    <row r="12" spans="2:17" x14ac:dyDescent="0.2">
      <c r="B12">
        <v>1</v>
      </c>
      <c r="C12" s="17">
        <v>0.25</v>
      </c>
      <c r="D12" s="19">
        <v>3.0624999999999997E-3</v>
      </c>
      <c r="E12" s="19">
        <f t="shared" si="2"/>
        <v>0.18374999999999997</v>
      </c>
      <c r="F12" s="19">
        <f t="shared" si="0"/>
        <v>18.374999999999996</v>
      </c>
      <c r="G12" s="19">
        <f t="shared" si="1"/>
        <v>1.2243470149253728</v>
      </c>
      <c r="H12" s="19"/>
      <c r="I12" s="19"/>
      <c r="J12" s="19"/>
      <c r="K12" s="19"/>
      <c r="L12" s="19">
        <v>7.5</v>
      </c>
      <c r="M12" s="19">
        <f>H28</f>
        <v>2.0195578231292508</v>
      </c>
      <c r="N12" s="19">
        <f>I28</f>
        <v>3.966138694283694E-2</v>
      </c>
      <c r="O12" s="19"/>
      <c r="P12" s="19">
        <f t="shared" si="4"/>
        <v>0.79999999999999993</v>
      </c>
      <c r="Q12" s="19">
        <f t="shared" si="3"/>
        <v>2.3840827927993584</v>
      </c>
    </row>
    <row r="13" spans="2:17" x14ac:dyDescent="0.2">
      <c r="B13">
        <v>2</v>
      </c>
      <c r="C13" s="17">
        <v>0.25</v>
      </c>
      <c r="D13" s="19">
        <v>3.0089285714285717E-3</v>
      </c>
      <c r="E13" s="19">
        <f t="shared" si="2"/>
        <v>0.1805357142857143</v>
      </c>
      <c r="F13" s="19">
        <f t="shared" si="0"/>
        <v>18.053571428571431</v>
      </c>
      <c r="G13" s="19">
        <f t="shared" si="1"/>
        <v>1.2029298659762411</v>
      </c>
      <c r="H13" s="19">
        <f>AVERAGE(G12:G14)</f>
        <v>1.2235537871865161</v>
      </c>
      <c r="I13" s="19">
        <f>_xlfn.STDEV.P(G12:G14)</f>
        <v>1.6525049065894637E-2</v>
      </c>
      <c r="J13" s="19"/>
      <c r="K13" s="19"/>
      <c r="L13" s="19">
        <v>10</v>
      </c>
      <c r="M13" s="19">
        <f>H31</f>
        <v>2.2051731140217274</v>
      </c>
      <c r="N13" s="19">
        <f>I31</f>
        <v>4.9180119809117517E-2</v>
      </c>
      <c r="O13" s="19"/>
      <c r="P13" s="19">
        <f t="shared" si="4"/>
        <v>0.89999999999999991</v>
      </c>
      <c r="Q13" s="19">
        <f t="shared" si="3"/>
        <v>2.4998981047483189</v>
      </c>
    </row>
    <row r="14" spans="2:17" x14ac:dyDescent="0.2">
      <c r="B14">
        <v>3</v>
      </c>
      <c r="C14" s="17">
        <v>0.25</v>
      </c>
      <c r="D14" s="19">
        <v>3.1101190476190473E-3</v>
      </c>
      <c r="E14" s="19">
        <f t="shared" si="2"/>
        <v>0.18660714285714283</v>
      </c>
      <c r="F14" s="19">
        <f t="shared" si="0"/>
        <v>18.660714285714281</v>
      </c>
      <c r="G14" s="19">
        <f t="shared" si="1"/>
        <v>1.2433844806579344</v>
      </c>
      <c r="H14" s="19"/>
      <c r="I14" s="19"/>
      <c r="J14" s="19"/>
      <c r="K14" s="19"/>
      <c r="L14" s="19"/>
      <c r="M14" s="19"/>
      <c r="N14" s="19"/>
      <c r="O14" s="19"/>
      <c r="P14" s="19">
        <f t="shared" si="4"/>
        <v>0.99999999999999989</v>
      </c>
      <c r="Q14" s="19">
        <f t="shared" si="3"/>
        <v>2.6009795814515617</v>
      </c>
    </row>
    <row r="15" spans="2:17" x14ac:dyDescent="0.2">
      <c r="B15">
        <v>1</v>
      </c>
      <c r="C15" s="17">
        <v>0.5</v>
      </c>
      <c r="D15" s="19">
        <v>4.9722222222222225E-3</v>
      </c>
      <c r="E15" s="19">
        <f t="shared" si="2"/>
        <v>0.29833333333333334</v>
      </c>
      <c r="F15" s="19">
        <f t="shared" si="0"/>
        <v>29.833333333333332</v>
      </c>
      <c r="G15" s="19">
        <f t="shared" si="1"/>
        <v>1.9878287135749817</v>
      </c>
      <c r="H15" s="19"/>
      <c r="I15" s="19"/>
      <c r="J15" s="19"/>
      <c r="K15" s="19"/>
      <c r="L15" s="19" t="s">
        <v>62</v>
      </c>
      <c r="M15" s="19"/>
      <c r="N15" s="19"/>
      <c r="O15" s="19"/>
      <c r="P15" s="19">
        <f t="shared" si="4"/>
        <v>1.0999999999999999</v>
      </c>
      <c r="Q15" s="19">
        <f t="shared" si="3"/>
        <v>2.6899706955325637</v>
      </c>
    </row>
    <row r="16" spans="2:17" x14ac:dyDescent="0.2">
      <c r="B16">
        <v>2</v>
      </c>
      <c r="C16" s="17">
        <v>0.5</v>
      </c>
      <c r="D16" s="19">
        <v>5.2460317460317459E-3</v>
      </c>
      <c r="E16" s="19">
        <f t="shared" si="2"/>
        <v>0.31476190476190474</v>
      </c>
      <c r="F16" s="19">
        <f t="shared" si="0"/>
        <v>31.476190476190474</v>
      </c>
      <c r="G16" s="19">
        <f t="shared" si="1"/>
        <v>2.0972941415372115</v>
      </c>
      <c r="H16" s="19">
        <f>AVERAGE(G15:G17)</f>
        <v>2.0888330456560724</v>
      </c>
      <c r="I16" s="19">
        <f>_xlfn.STDEV.P(G15:G17)</f>
        <v>7.9241646897359394E-2</v>
      </c>
      <c r="J16" s="19"/>
      <c r="K16" s="19"/>
      <c r="L16" s="19" t="s">
        <v>3</v>
      </c>
      <c r="M16" s="19">
        <v>4.0890000000000004</v>
      </c>
      <c r="N16" s="19" t="s">
        <v>42</v>
      </c>
      <c r="O16" s="19"/>
      <c r="P16" s="19">
        <f t="shared" si="4"/>
        <v>1.2</v>
      </c>
      <c r="Q16" s="19">
        <f t="shared" si="3"/>
        <v>2.7689182326053836</v>
      </c>
    </row>
    <row r="17" spans="2:17" x14ac:dyDescent="0.2">
      <c r="B17">
        <v>3</v>
      </c>
      <c r="C17" s="17">
        <v>0.5</v>
      </c>
      <c r="D17" s="19">
        <v>5.4563492063492052E-3</v>
      </c>
      <c r="E17" s="19">
        <f t="shared" si="2"/>
        <v>0.32738095238095233</v>
      </c>
      <c r="F17" s="19">
        <f t="shared" si="0"/>
        <v>32.738095238095234</v>
      </c>
      <c r="G17" s="19">
        <f t="shared" si="1"/>
        <v>2.1813762818560254</v>
      </c>
      <c r="H17" s="19"/>
      <c r="I17" s="19"/>
      <c r="J17" s="19"/>
      <c r="K17" s="19"/>
      <c r="L17" s="19" t="s">
        <v>4</v>
      </c>
      <c r="M17" s="19">
        <v>0.57210000000000005</v>
      </c>
      <c r="N17" s="19" t="s">
        <v>43</v>
      </c>
      <c r="O17" s="19"/>
      <c r="P17" s="19">
        <f t="shared" si="4"/>
        <v>1.3</v>
      </c>
      <c r="Q17" s="19">
        <f t="shared" si="3"/>
        <v>2.8394316542919715</v>
      </c>
    </row>
    <row r="18" spans="2:17" x14ac:dyDescent="0.2">
      <c r="B18">
        <v>1</v>
      </c>
      <c r="C18" s="17">
        <v>1</v>
      </c>
      <c r="D18" s="19">
        <f>[1]Tabelle1!$Q$4</f>
        <v>5.4666666666666674E-3</v>
      </c>
      <c r="E18" s="19">
        <f t="shared" si="2"/>
        <v>0.32800000000000007</v>
      </c>
      <c r="F18" s="19">
        <f t="shared" ref="F18:F20" si="5">E18/$D$34</f>
        <v>32.800000000000004</v>
      </c>
      <c r="G18" s="19">
        <f t="shared" ref="G18:G20" si="6">(F18)/($D$36*$D$37)</f>
        <v>2.1855010660980807</v>
      </c>
      <c r="H18" s="19"/>
      <c r="I18" s="19"/>
      <c r="J18" s="19"/>
      <c r="K18" s="19"/>
      <c r="L18" s="19"/>
      <c r="M18" s="19"/>
      <c r="N18" s="19"/>
      <c r="O18" s="19"/>
      <c r="P18" s="19">
        <f t="shared" si="4"/>
        <v>1.4000000000000001</v>
      </c>
      <c r="Q18" s="19">
        <f t="shared" si="3"/>
        <v>2.9027939759647081</v>
      </c>
    </row>
    <row r="19" spans="2:17" x14ac:dyDescent="0.2">
      <c r="B19">
        <v>2</v>
      </c>
      <c r="C19" s="17">
        <v>1</v>
      </c>
      <c r="D19" s="19">
        <f>[1]Tabelle1!$R$4</f>
        <v>5.5666666666666651E-3</v>
      </c>
      <c r="E19" s="19">
        <f t="shared" si="2"/>
        <v>0.33399999999999991</v>
      </c>
      <c r="F19" s="19">
        <f t="shared" si="5"/>
        <v>33.399999999999991</v>
      </c>
      <c r="G19" s="19">
        <f t="shared" si="6"/>
        <v>2.2254797441364595</v>
      </c>
      <c r="H19" s="19">
        <f>AVERAGE(G18:G20)</f>
        <v>2.2432480454868506</v>
      </c>
      <c r="I19" s="19">
        <f>STDEVP(G18:G20)</f>
        <v>5.5836021188594834E-2</v>
      </c>
      <c r="J19" s="19"/>
      <c r="K19" s="19"/>
      <c r="L19" s="19"/>
      <c r="M19" s="19"/>
      <c r="N19" s="19"/>
      <c r="O19" s="19"/>
      <c r="P19" s="19">
        <f t="shared" si="4"/>
        <v>1.5000000000000002</v>
      </c>
      <c r="Q19" s="19">
        <f t="shared" si="3"/>
        <v>2.9600405385840456</v>
      </c>
    </row>
    <row r="20" spans="2:17" x14ac:dyDescent="0.2">
      <c r="B20">
        <v>3</v>
      </c>
      <c r="C20" s="17">
        <v>1</v>
      </c>
      <c r="D20" s="19">
        <f>[1]Tabelle1!$S$4</f>
        <v>5.7999999999999987E-3</v>
      </c>
      <c r="E20" s="19">
        <f t="shared" si="2"/>
        <v>0.34799999999999992</v>
      </c>
      <c r="F20" s="19">
        <f t="shared" si="5"/>
        <v>34.79999999999999</v>
      </c>
      <c r="G20" s="19">
        <f t="shared" si="6"/>
        <v>2.3187633262260117</v>
      </c>
      <c r="H20" s="19"/>
      <c r="I20" s="19"/>
      <c r="J20" s="19"/>
      <c r="K20" s="19"/>
      <c r="L20" s="19"/>
      <c r="M20" s="19"/>
      <c r="N20" s="19"/>
      <c r="O20" s="19"/>
      <c r="P20" s="19">
        <f t="shared" si="4"/>
        <v>1.6000000000000003</v>
      </c>
      <c r="Q20" s="19">
        <f t="shared" si="3"/>
        <v>3.0120160213618159</v>
      </c>
    </row>
    <row r="21" spans="2:17" x14ac:dyDescent="0.2">
      <c r="B21">
        <v>1</v>
      </c>
      <c r="C21" s="17">
        <v>2.5</v>
      </c>
      <c r="D21" s="19">
        <v>8.849206349206348E-3</v>
      </c>
      <c r="E21" s="19">
        <f t="shared" ref="E21:E32" si="7">D21*60</f>
        <v>0.53095238095238084</v>
      </c>
      <c r="F21" s="19">
        <f t="shared" ref="F21:F32" si="8">E21/$D$34</f>
        <v>53.095238095238081</v>
      </c>
      <c r="G21" s="19">
        <f t="shared" ref="G21:G27" si="9">(F21)/($D$36*$D$37)</f>
        <v>3.5377957153010442</v>
      </c>
      <c r="H21" s="19"/>
      <c r="I21" s="19"/>
      <c r="J21" s="19"/>
      <c r="K21" s="19"/>
      <c r="L21" s="19"/>
      <c r="M21" s="19"/>
      <c r="N21" s="19"/>
      <c r="O21" s="19"/>
      <c r="P21" s="19">
        <f t="shared" si="4"/>
        <v>1.7000000000000004</v>
      </c>
      <c r="Q21" s="19">
        <f t="shared" si="3"/>
        <v>3.0594163989261043</v>
      </c>
    </row>
    <row r="22" spans="2:17" x14ac:dyDescent="0.2">
      <c r="B22">
        <v>2</v>
      </c>
      <c r="C22" s="17">
        <v>2.5</v>
      </c>
      <c r="D22" s="19">
        <v>7.8055555555555552E-3</v>
      </c>
      <c r="E22" s="19">
        <f t="shared" si="7"/>
        <v>0.46833333333333332</v>
      </c>
      <c r="F22" s="19">
        <f t="shared" si="8"/>
        <v>46.833333333333329</v>
      </c>
      <c r="G22" s="19">
        <f t="shared" si="9"/>
        <v>3.1205579246624016</v>
      </c>
      <c r="H22" s="19">
        <f>AVERAGE(G21:G23)</f>
        <v>3.2776170169560355</v>
      </c>
      <c r="I22" s="19">
        <f>_xlfn.STDEV.P(G21:G23)</f>
        <v>0.18528731445765895</v>
      </c>
      <c r="J22" s="19"/>
      <c r="K22" s="19"/>
      <c r="L22" s="19"/>
      <c r="M22" s="19"/>
      <c r="N22" s="19"/>
      <c r="O22" s="19"/>
      <c r="P22" s="19">
        <f t="shared" si="4"/>
        <v>1.8000000000000005</v>
      </c>
      <c r="Q22" s="19">
        <f t="shared" si="3"/>
        <v>3.102820285822689</v>
      </c>
    </row>
    <row r="23" spans="2:17" x14ac:dyDescent="0.2">
      <c r="B23">
        <v>3</v>
      </c>
      <c r="C23" s="17">
        <v>2.5</v>
      </c>
      <c r="D23" s="19">
        <v>7.9404761904761905E-3</v>
      </c>
      <c r="E23" s="19">
        <f t="shared" si="7"/>
        <v>0.47642857142857142</v>
      </c>
      <c r="F23" s="19">
        <f t="shared" si="8"/>
        <v>47.642857142857139</v>
      </c>
      <c r="G23" s="19">
        <f t="shared" si="9"/>
        <v>3.1744974109046598</v>
      </c>
      <c r="H23" s="19"/>
      <c r="I23" s="19"/>
      <c r="J23" s="19"/>
      <c r="K23" s="19"/>
      <c r="L23" s="19"/>
      <c r="M23" s="19"/>
      <c r="N23" s="19"/>
      <c r="O23" s="19"/>
      <c r="P23" s="19">
        <f t="shared" si="4"/>
        <v>1.9000000000000006</v>
      </c>
      <c r="Q23" s="19">
        <f t="shared" si="3"/>
        <v>3.1427126734355411</v>
      </c>
    </row>
    <row r="24" spans="2:17" x14ac:dyDescent="0.2">
      <c r="B24">
        <v>1</v>
      </c>
      <c r="C24" s="17">
        <v>5</v>
      </c>
      <c r="D24" s="19">
        <v>6.5803571428571439E-3</v>
      </c>
      <c r="E24" s="19">
        <f t="shared" si="7"/>
        <v>0.39482142857142866</v>
      </c>
      <c r="F24" s="19">
        <f t="shared" si="8"/>
        <v>39.482142857142868</v>
      </c>
      <c r="G24" s="19">
        <f t="shared" si="9"/>
        <v>2.6307397959183678</v>
      </c>
      <c r="H24" s="19"/>
      <c r="I24" s="19"/>
      <c r="J24" s="19"/>
      <c r="K24" s="19"/>
      <c r="L24" s="19"/>
      <c r="M24" s="19"/>
      <c r="N24" s="19"/>
      <c r="O24" s="19"/>
      <c r="P24" s="19">
        <f t="shared" si="4"/>
        <v>2.0000000000000004</v>
      </c>
      <c r="Q24" s="19">
        <f t="shared" si="3"/>
        <v>3.1795031297383463</v>
      </c>
    </row>
    <row r="25" spans="2:17" x14ac:dyDescent="0.2">
      <c r="B25">
        <v>2</v>
      </c>
      <c r="C25" s="17">
        <v>5</v>
      </c>
      <c r="D25" s="19">
        <v>5.4672619047619036E-3</v>
      </c>
      <c r="E25" s="19">
        <f t="shared" si="7"/>
        <v>0.32803571428571421</v>
      </c>
      <c r="F25" s="19">
        <f t="shared" si="8"/>
        <v>32.803571428571423</v>
      </c>
      <c r="G25" s="19">
        <f t="shared" si="9"/>
        <v>2.1857390344197372</v>
      </c>
      <c r="H25" s="19">
        <f>AVERAGE(G24:G26)</f>
        <v>2.5010470606152904</v>
      </c>
      <c r="I25" s="19">
        <f>_xlfn.STDEV.P(G24:G26)</f>
        <v>0.22412228298173026</v>
      </c>
      <c r="J25" s="19"/>
      <c r="K25" s="19"/>
      <c r="L25" s="19"/>
      <c r="M25" s="19"/>
      <c r="N25" s="19"/>
      <c r="O25" s="19"/>
      <c r="P25" s="19">
        <f t="shared" si="4"/>
        <v>2.1000000000000005</v>
      </c>
      <c r="Q25" s="19">
        <f t="shared" si="3"/>
        <v>3.2135399124284278</v>
      </c>
    </row>
    <row r="26" spans="2:17" x14ac:dyDescent="0.2">
      <c r="B26">
        <v>3</v>
      </c>
      <c r="C26" s="17">
        <v>5</v>
      </c>
      <c r="D26" s="19">
        <v>6.7202380952380951E-3</v>
      </c>
      <c r="E26" s="19">
        <f t="shared" si="7"/>
        <v>0.40321428571428569</v>
      </c>
      <c r="F26" s="19">
        <f t="shared" si="8"/>
        <v>40.321428571428569</v>
      </c>
      <c r="G26" s="19">
        <f t="shared" si="9"/>
        <v>2.6866623515077666</v>
      </c>
      <c r="H26" s="19"/>
      <c r="I26" s="19"/>
      <c r="J26" s="19"/>
      <c r="K26" s="19"/>
      <c r="L26" s="19"/>
      <c r="M26" s="19"/>
      <c r="N26" s="19"/>
      <c r="O26" s="19"/>
      <c r="P26" s="19">
        <f t="shared" si="4"/>
        <v>2.2000000000000006</v>
      </c>
      <c r="Q26" s="19">
        <f t="shared" si="3"/>
        <v>3.2451210273799647</v>
      </c>
    </row>
    <row r="27" spans="2:17" x14ac:dyDescent="0.2">
      <c r="B27">
        <v>1</v>
      </c>
      <c r="C27" s="17">
        <v>7.5</v>
      </c>
      <c r="D27" s="19">
        <v>4.9523809523809512E-3</v>
      </c>
      <c r="E27" s="19">
        <f t="shared" si="7"/>
        <v>0.29714285714285704</v>
      </c>
      <c r="F27" s="19">
        <f t="shared" si="8"/>
        <v>29.714285714285705</v>
      </c>
      <c r="G27" s="19">
        <f t="shared" si="9"/>
        <v>1.979896436186414</v>
      </c>
      <c r="H27" s="19"/>
      <c r="I27" s="19"/>
      <c r="J27" s="19"/>
      <c r="K27" s="19"/>
      <c r="L27" s="19"/>
      <c r="M27" s="19"/>
      <c r="N27" s="19"/>
      <c r="O27" s="19"/>
      <c r="P27" s="19">
        <f t="shared" si="4"/>
        <v>2.3000000000000007</v>
      </c>
      <c r="Q27" s="19">
        <f t="shared" si="3"/>
        <v>3.274502976915846</v>
      </c>
    </row>
    <row r="28" spans="2:17" x14ac:dyDescent="0.2">
      <c r="B28">
        <v>2</v>
      </c>
      <c r="C28" s="17">
        <v>7.5</v>
      </c>
      <c r="D28" s="19">
        <v>3.8928571428571423E-3</v>
      </c>
      <c r="E28" s="19">
        <f t="shared" si="7"/>
        <v>0.23357142857142854</v>
      </c>
      <c r="F28" s="19">
        <f t="shared" si="8"/>
        <v>23.357142857142854</v>
      </c>
      <c r="G28" s="19"/>
      <c r="H28" s="19">
        <f>AVERAGE(G27:G29)</f>
        <v>2.0195578231292508</v>
      </c>
      <c r="I28" s="19">
        <f>_xlfn.STDEV.P(G27:G29)</f>
        <v>3.966138694283694E-2</v>
      </c>
      <c r="J28" s="19"/>
      <c r="K28" s="19"/>
      <c r="L28" s="19"/>
      <c r="M28" s="19"/>
      <c r="N28" s="19"/>
      <c r="O28" s="19"/>
      <c r="P28" s="19">
        <f t="shared" si="4"/>
        <v>2.4000000000000008</v>
      </c>
      <c r="Q28" s="19">
        <f t="shared" si="3"/>
        <v>3.3019077420006058</v>
      </c>
    </row>
    <row r="29" spans="2:17" x14ac:dyDescent="0.2">
      <c r="B29">
        <v>3</v>
      </c>
      <c r="C29" s="17">
        <v>7.5</v>
      </c>
      <c r="D29" s="19">
        <v>5.1507936507936506E-3</v>
      </c>
      <c r="E29" s="19">
        <f t="shared" si="7"/>
        <v>0.30904761904761902</v>
      </c>
      <c r="F29" s="19">
        <f t="shared" si="8"/>
        <v>30.904761904761902</v>
      </c>
      <c r="G29" s="19">
        <f>(F29)/($D$36*$D$37)</f>
        <v>2.0592192100720879</v>
      </c>
      <c r="H29" s="19"/>
      <c r="I29" s="19"/>
      <c r="J29" s="19"/>
      <c r="K29" s="19"/>
      <c r="L29" s="19"/>
      <c r="M29" s="19"/>
      <c r="N29" s="19"/>
      <c r="O29" s="19"/>
      <c r="P29" s="19">
        <f t="shared" si="4"/>
        <v>2.5000000000000009</v>
      </c>
      <c r="Q29" s="19">
        <f t="shared" si="3"/>
        <v>3.3275284007682053</v>
      </c>
    </row>
    <row r="30" spans="2:17" x14ac:dyDescent="0.2">
      <c r="B30">
        <v>1</v>
      </c>
      <c r="C30" s="17">
        <v>10</v>
      </c>
      <c r="D30" s="19">
        <v>5.6388888888888886E-3</v>
      </c>
      <c r="E30" s="19">
        <f t="shared" si="7"/>
        <v>0.33833333333333332</v>
      </c>
      <c r="F30" s="19">
        <f t="shared" si="8"/>
        <v>33.833333333333329</v>
      </c>
      <c r="G30" s="19">
        <f>(F30)/($D$36*$D$37)</f>
        <v>2.254353233830845</v>
      </c>
      <c r="H30" s="19"/>
      <c r="I30" s="19"/>
      <c r="J30" s="19"/>
      <c r="K30" s="19"/>
      <c r="L30" s="19"/>
      <c r="M30" s="19"/>
      <c r="N30" s="19"/>
      <c r="O30" s="19"/>
      <c r="P30" s="19">
        <f t="shared" si="4"/>
        <v>2.600000000000001</v>
      </c>
      <c r="Q30" s="19">
        <f t="shared" si="3"/>
        <v>3.3515336843100787</v>
      </c>
    </row>
    <row r="31" spans="2:17" x14ac:dyDescent="0.2">
      <c r="B31">
        <v>2</v>
      </c>
      <c r="C31" s="17">
        <v>10</v>
      </c>
      <c r="D31" s="19">
        <v>5.3928571428571428E-3</v>
      </c>
      <c r="E31" s="19">
        <f t="shared" si="7"/>
        <v>0.32357142857142857</v>
      </c>
      <c r="F31" s="19">
        <f t="shared" si="8"/>
        <v>32.357142857142854</v>
      </c>
      <c r="G31" s="19">
        <f>(F31)/($D$36*$D$37)</f>
        <v>2.1559929942126099</v>
      </c>
      <c r="H31" s="19">
        <f>AVERAGE(G30:G32)</f>
        <v>2.2051731140217274</v>
      </c>
      <c r="I31" s="19">
        <f>_xlfn.STDEV.P(G30:G32)</f>
        <v>4.9180119809117517E-2</v>
      </c>
      <c r="J31" s="19"/>
      <c r="K31" s="19"/>
      <c r="L31" s="19"/>
      <c r="M31" s="19"/>
      <c r="N31" s="19"/>
      <c r="O31" s="19"/>
      <c r="P31" s="19">
        <f t="shared" si="4"/>
        <v>2.7000000000000011</v>
      </c>
      <c r="Q31" s="19">
        <f t="shared" si="3"/>
        <v>3.3740716970752733</v>
      </c>
    </row>
    <row r="32" spans="2:17" x14ac:dyDescent="0.2">
      <c r="B32">
        <v>3</v>
      </c>
      <c r="C32" s="17">
        <v>10</v>
      </c>
      <c r="D32" s="19">
        <v>6.2500000000000003E-3</v>
      </c>
      <c r="E32" s="19">
        <f t="shared" si="7"/>
        <v>0.375</v>
      </c>
      <c r="F32" s="19">
        <f t="shared" si="8"/>
        <v>37.5</v>
      </c>
      <c r="G32" s="19"/>
      <c r="H32" s="19"/>
      <c r="I32" s="19"/>
      <c r="J32" s="19"/>
      <c r="K32" s="19"/>
      <c r="L32" s="19"/>
      <c r="M32" s="19"/>
      <c r="N32" s="19"/>
      <c r="O32" s="19"/>
      <c r="P32" s="19">
        <f t="shared" si="4"/>
        <v>2.8000000000000012</v>
      </c>
      <c r="Q32" s="19">
        <f t="shared" si="3"/>
        <v>3.395272975297293</v>
      </c>
    </row>
    <row r="33" spans="3:17" x14ac:dyDescent="0.2">
      <c r="P33">
        <f t="shared" si="4"/>
        <v>2.9000000000000012</v>
      </c>
      <c r="Q33" s="19">
        <f t="shared" si="3"/>
        <v>3.4152530169061959</v>
      </c>
    </row>
    <row r="34" spans="3:17" x14ac:dyDescent="0.2">
      <c r="C34" t="s">
        <v>37</v>
      </c>
      <c r="D34">
        <v>0.01</v>
      </c>
      <c r="G34" t="s">
        <v>38</v>
      </c>
      <c r="H34" t="s">
        <v>39</v>
      </c>
      <c r="P34">
        <f t="shared" si="4"/>
        <v>3.0000000000000013</v>
      </c>
      <c r="Q34" s="19">
        <f t="shared" si="3"/>
        <v>3.434114386495339</v>
      </c>
    </row>
    <row r="35" spans="3:17" x14ac:dyDescent="0.2">
      <c r="P35">
        <f t="shared" si="4"/>
        <v>3.1000000000000014</v>
      </c>
      <c r="Q35" s="19">
        <f t="shared" si="3"/>
        <v>3.4519484763486843</v>
      </c>
    </row>
    <row r="36" spans="3:17" x14ac:dyDescent="0.2">
      <c r="C36" t="s">
        <v>40</v>
      </c>
      <c r="D36">
        <v>0.56000000000000005</v>
      </c>
      <c r="P36">
        <f t="shared" si="4"/>
        <v>3.2000000000000015</v>
      </c>
      <c r="Q36" s="19">
        <f t="shared" si="3"/>
        <v>3.4688369873545239</v>
      </c>
    </row>
    <row r="37" spans="3:17" x14ac:dyDescent="0.2">
      <c r="C37" t="s">
        <v>41</v>
      </c>
      <c r="D37">
        <v>26.8</v>
      </c>
      <c r="P37">
        <f t="shared" si="4"/>
        <v>3.3000000000000016</v>
      </c>
      <c r="Q37" s="19">
        <f t="shared" si="3"/>
        <v>3.4848531804447207</v>
      </c>
    </row>
    <row r="38" spans="3:17" x14ac:dyDescent="0.2">
      <c r="P38">
        <f t="shared" si="4"/>
        <v>3.4000000000000017</v>
      </c>
      <c r="Q38" s="19">
        <f t="shared" si="3"/>
        <v>3.5000629389995219</v>
      </c>
    </row>
    <row r="39" spans="3:17" x14ac:dyDescent="0.2">
      <c r="P39">
        <f t="shared" si="4"/>
        <v>3.5000000000000018</v>
      </c>
      <c r="Q39" s="19">
        <f t="shared" si="3"/>
        <v>3.514525674713294</v>
      </c>
    </row>
    <row r="40" spans="3:17" x14ac:dyDescent="0.2">
      <c r="P40">
        <f t="shared" si="4"/>
        <v>3.6000000000000019</v>
      </c>
      <c r="Q40" s="19">
        <f t="shared" si="3"/>
        <v>3.5282951031854464</v>
      </c>
    </row>
    <row r="41" spans="3:17" x14ac:dyDescent="0.2">
      <c r="P41">
        <f t="shared" si="4"/>
        <v>3.700000000000002</v>
      </c>
      <c r="Q41" s="19">
        <f t="shared" si="3"/>
        <v>3.5414199105826181</v>
      </c>
    </row>
    <row r="42" spans="3:17" x14ac:dyDescent="0.2">
      <c r="P42">
        <f t="shared" si="4"/>
        <v>3.800000000000002</v>
      </c>
      <c r="Q42" s="19">
        <f t="shared" si="3"/>
        <v>3.5539443288122419</v>
      </c>
    </row>
    <row r="43" spans="3:17" x14ac:dyDescent="0.2">
      <c r="P43">
        <f t="shared" si="4"/>
        <v>3.9000000000000021</v>
      </c>
      <c r="Q43" s="19">
        <f t="shared" si="3"/>
        <v>3.5659086335278736</v>
      </c>
    </row>
    <row r="44" spans="3:17" x14ac:dyDescent="0.2">
      <c r="P44">
        <f t="shared" si="4"/>
        <v>4.0000000000000018</v>
      </c>
      <c r="Q44" s="19">
        <f t="shared" si="3"/>
        <v>3.5773495767809109</v>
      </c>
    </row>
    <row r="45" spans="3:17" x14ac:dyDescent="0.2">
      <c r="P45">
        <f t="shared" si="4"/>
        <v>4.1000000000000014</v>
      </c>
      <c r="Q45" s="19">
        <f t="shared" si="3"/>
        <v>3.5883007641103579</v>
      </c>
    </row>
    <row r="46" spans="3:17" x14ac:dyDescent="0.2">
      <c r="P46">
        <f t="shared" si="4"/>
        <v>4.2000000000000011</v>
      </c>
      <c r="Q46" s="19">
        <f t="shared" si="3"/>
        <v>3.598792984220784</v>
      </c>
    </row>
    <row r="47" spans="3:17" x14ac:dyDescent="0.2">
      <c r="P47">
        <f t="shared" si="4"/>
        <v>4.3000000000000007</v>
      </c>
      <c r="Q47" s="19">
        <f t="shared" si="3"/>
        <v>3.6088544980603854</v>
      </c>
    </row>
    <row r="48" spans="3:17" x14ac:dyDescent="0.2">
      <c r="P48">
        <f t="shared" si="4"/>
        <v>4.4000000000000004</v>
      </c>
      <c r="Q48" s="19">
        <f t="shared" si="3"/>
        <v>3.6185112930150241</v>
      </c>
    </row>
    <row r="49" spans="16:17" x14ac:dyDescent="0.2">
      <c r="P49">
        <f t="shared" si="4"/>
        <v>4.5</v>
      </c>
      <c r="Q49" s="19">
        <f t="shared" si="3"/>
        <v>3.6277873070325906</v>
      </c>
    </row>
    <row r="50" spans="16:17" x14ac:dyDescent="0.2">
      <c r="P50">
        <f t="shared" si="4"/>
        <v>4.5999999999999996</v>
      </c>
      <c r="Q50" s="19">
        <f t="shared" si="3"/>
        <v>3.6367046267473566</v>
      </c>
    </row>
    <row r="51" spans="16:17" x14ac:dyDescent="0.2">
      <c r="P51">
        <f t="shared" si="4"/>
        <v>4.6999999999999993</v>
      </c>
      <c r="Q51" s="19">
        <f t="shared" si="3"/>
        <v>3.6452836630564676</v>
      </c>
    </row>
    <row r="52" spans="16:17" x14ac:dyDescent="0.2">
      <c r="P52">
        <f t="shared" si="4"/>
        <v>4.7999999999999989</v>
      </c>
      <c r="Q52" s="19">
        <f t="shared" si="3"/>
        <v>3.6535433070866148</v>
      </c>
    </row>
    <row r="53" spans="16:17" x14ac:dyDescent="0.2">
      <c r="P53">
        <f t="shared" si="4"/>
        <v>4.8999999999999986</v>
      </c>
      <c r="Q53" s="19">
        <f t="shared" si="3"/>
        <v>3.661501069059411</v>
      </c>
    </row>
    <row r="54" spans="16:17" x14ac:dyDescent="0.2">
      <c r="P54">
        <f t="shared" si="4"/>
        <v>4.9999999999999982</v>
      </c>
      <c r="Q54" s="19">
        <f t="shared" si="3"/>
        <v>3.669173202203837</v>
      </c>
    </row>
    <row r="55" spans="16:17" x14ac:dyDescent="0.2">
      <c r="P55">
        <f t="shared" si="4"/>
        <v>5.0999999999999979</v>
      </c>
      <c r="Q55" s="19">
        <f t="shared" si="3"/>
        <v>3.6765748135611149</v>
      </c>
    </row>
    <row r="56" spans="16:17" x14ac:dyDescent="0.2">
      <c r="P56">
        <f t="shared" si="4"/>
        <v>5.1999999999999975</v>
      </c>
      <c r="Q56" s="19">
        <f t="shared" si="3"/>
        <v>3.6837199632715998</v>
      </c>
    </row>
    <row r="57" spans="16:17" x14ac:dyDescent="0.2">
      <c r="P57">
        <f t="shared" si="4"/>
        <v>5.2999999999999972</v>
      </c>
      <c r="Q57" s="19">
        <f t="shared" si="3"/>
        <v>3.6906217537167287</v>
      </c>
    </row>
    <row r="58" spans="16:17" x14ac:dyDescent="0.2">
      <c r="P58">
        <f t="shared" si="4"/>
        <v>5.3999999999999968</v>
      </c>
      <c r="Q58" s="19">
        <f t="shared" si="3"/>
        <v>3.6972924097051294</v>
      </c>
    </row>
    <row r="59" spans="16:17" x14ac:dyDescent="0.2">
      <c r="P59">
        <f t="shared" si="4"/>
        <v>5.4999999999999964</v>
      </c>
      <c r="Q59" s="19">
        <f t="shared" si="3"/>
        <v>3.7037433507353308</v>
      </c>
    </row>
    <row r="60" spans="16:17" x14ac:dyDescent="0.2">
      <c r="P60">
        <f t="shared" si="4"/>
        <v>5.5999999999999961</v>
      </c>
      <c r="Q60" s="19">
        <f t="shared" si="3"/>
        <v>3.7099852562336975</v>
      </c>
    </row>
    <row r="61" spans="16:17" x14ac:dyDescent="0.2">
      <c r="P61">
        <f t="shared" si="4"/>
        <v>5.6999999999999957</v>
      </c>
      <c r="Q61" s="19">
        <f t="shared" si="3"/>
        <v>3.7160281245515856</v>
      </c>
    </row>
    <row r="62" spans="16:17" x14ac:dyDescent="0.2">
      <c r="P62">
        <f t="shared" si="4"/>
        <v>5.7999999999999954</v>
      </c>
      <c r="Q62" s="19">
        <f t="shared" si="3"/>
        <v>3.7218813264073072</v>
      </c>
    </row>
    <row r="63" spans="16:17" x14ac:dyDescent="0.2">
      <c r="P63">
        <f t="shared" si="4"/>
        <v>5.899999999999995</v>
      </c>
      <c r="Q63" s="19">
        <f t="shared" si="3"/>
        <v>3.7275536533737119</v>
      </c>
    </row>
    <row r="64" spans="16:17" x14ac:dyDescent="0.2">
      <c r="P64">
        <f t="shared" si="4"/>
        <v>5.9999999999999947</v>
      </c>
      <c r="Q64" s="19">
        <f t="shared" si="3"/>
        <v>3.7330533619391066</v>
      </c>
    </row>
    <row r="65" spans="16:17" x14ac:dyDescent="0.2">
      <c r="P65">
        <f t="shared" si="4"/>
        <v>6.0999999999999943</v>
      </c>
      <c r="Q65" s="19">
        <f t="shared" si="3"/>
        <v>3.7383882136059117</v>
      </c>
    </row>
    <row r="66" spans="16:17" x14ac:dyDescent="0.2">
      <c r="P66">
        <f t="shared" si="4"/>
        <v>6.199999999999994</v>
      </c>
      <c r="Q66" s="19">
        <f t="shared" si="3"/>
        <v>3.7435655114366302</v>
      </c>
    </row>
    <row r="67" spans="16:17" x14ac:dyDescent="0.2">
      <c r="P67">
        <f t="shared" si="4"/>
        <v>6.2999999999999936</v>
      </c>
      <c r="Q67" s="19">
        <f t="shared" si="3"/>
        <v>3.7485921334090015</v>
      </c>
    </row>
    <row r="68" spans="16:17" x14ac:dyDescent="0.2">
      <c r="P68">
        <f t="shared" si="4"/>
        <v>6.3999999999999932</v>
      </c>
      <c r="Q68" s="19">
        <f t="shared" si="3"/>
        <v>3.7534745629007045</v>
      </c>
    </row>
    <row r="69" spans="16:17" x14ac:dyDescent="0.2">
      <c r="P69">
        <f t="shared" si="4"/>
        <v>6.4999999999999929</v>
      </c>
      <c r="Q69" s="19">
        <f t="shared" ref="Q69:Q104" si="10">(($M$16*P69)/($M$17+P69))</f>
        <v>3.758218916587718</v>
      </c>
    </row>
    <row r="70" spans="16:17" x14ac:dyDescent="0.2">
      <c r="P70">
        <f t="shared" ref="P70:P104" si="11">P69+0.1</f>
        <v>6.5999999999999925</v>
      </c>
      <c r="Q70" s="19">
        <f t="shared" si="10"/>
        <v>3.7628309700087841</v>
      </c>
    </row>
    <row r="71" spans="16:17" x14ac:dyDescent="0.2">
      <c r="P71">
        <f t="shared" si="11"/>
        <v>6.6999999999999922</v>
      </c>
      <c r="Q71" s="19">
        <f t="shared" si="10"/>
        <v>3.7673161810206133</v>
      </c>
    </row>
    <row r="72" spans="16:17" x14ac:dyDescent="0.2">
      <c r="P72">
        <f t="shared" si="11"/>
        <v>6.7999999999999918</v>
      </c>
      <c r="Q72" s="19">
        <f t="shared" si="10"/>
        <v>3.7716797113441221</v>
      </c>
    </row>
    <row r="73" spans="16:17" x14ac:dyDescent="0.2">
      <c r="P73">
        <f t="shared" si="11"/>
        <v>6.8999999999999915</v>
      </c>
      <c r="Q73" s="19">
        <f t="shared" si="10"/>
        <v>3.7759264463805353</v>
      </c>
    </row>
    <row r="74" spans="16:17" x14ac:dyDescent="0.2">
      <c r="P74">
        <f t="shared" si="11"/>
        <v>6.9999999999999911</v>
      </c>
      <c r="Q74" s="19">
        <f t="shared" si="10"/>
        <v>3.7800610134572969</v>
      </c>
    </row>
    <row r="75" spans="16:17" x14ac:dyDescent="0.2">
      <c r="P75">
        <f t="shared" si="11"/>
        <v>7.0999999999999908</v>
      </c>
      <c r="Q75" s="19">
        <f t="shared" si="10"/>
        <v>3.7840877986470458</v>
      </c>
    </row>
    <row r="76" spans="16:17" x14ac:dyDescent="0.2">
      <c r="P76">
        <f t="shared" si="11"/>
        <v>7.1999999999999904</v>
      </c>
      <c r="Q76" s="19">
        <f t="shared" si="10"/>
        <v>3.7880109622881846</v>
      </c>
    </row>
    <row r="77" spans="16:17" x14ac:dyDescent="0.2">
      <c r="P77">
        <f t="shared" si="11"/>
        <v>7.2999999999999901</v>
      </c>
      <c r="Q77" s="19">
        <f t="shared" si="10"/>
        <v>3.7918344533224935</v>
      </c>
    </row>
    <row r="78" spans="16:17" x14ac:dyDescent="0.2">
      <c r="P78">
        <f t="shared" si="11"/>
        <v>7.3999999999999897</v>
      </c>
      <c r="Q78" s="19">
        <f t="shared" si="10"/>
        <v>3.7955620225536562</v>
      </c>
    </row>
    <row r="79" spans="16:17" x14ac:dyDescent="0.2">
      <c r="P79">
        <f t="shared" si="11"/>
        <v>7.4999999999999893</v>
      </c>
      <c r="Q79" s="19">
        <f t="shared" si="10"/>
        <v>3.7991972349202805</v>
      </c>
    </row>
    <row r="80" spans="16:17" x14ac:dyDescent="0.2">
      <c r="P80">
        <f t="shared" si="11"/>
        <v>7.599999999999989</v>
      </c>
      <c r="Q80" s="19">
        <f t="shared" si="10"/>
        <v>3.8027434808678304</v>
      </c>
    </row>
    <row r="81" spans="16:17" x14ac:dyDescent="0.2">
      <c r="P81">
        <f t="shared" si="11"/>
        <v>7.6999999999999886</v>
      </c>
      <c r="Q81" s="19">
        <f t="shared" si="10"/>
        <v>3.8062039868957092</v>
      </c>
    </row>
    <row r="82" spans="16:17" x14ac:dyDescent="0.2">
      <c r="P82">
        <f t="shared" si="11"/>
        <v>7.7999999999999883</v>
      </c>
      <c r="Q82" s="19">
        <f t="shared" si="10"/>
        <v>3.8095818253484786</v>
      </c>
    </row>
    <row r="83" spans="16:17" x14ac:dyDescent="0.2">
      <c r="P83">
        <f t="shared" si="11"/>
        <v>7.8999999999999879</v>
      </c>
      <c r="Q83" s="19">
        <f t="shared" si="10"/>
        <v>3.8128799235136501</v>
      </c>
    </row>
    <row r="84" spans="16:17" x14ac:dyDescent="0.2">
      <c r="P84">
        <f t="shared" si="11"/>
        <v>7.9999999999999876</v>
      </c>
      <c r="Q84" s="19">
        <f t="shared" si="10"/>
        <v>3.8161010720826867</v>
      </c>
    </row>
    <row r="85" spans="16:17" x14ac:dyDescent="0.2">
      <c r="P85">
        <f t="shared" si="11"/>
        <v>8.0999999999999872</v>
      </c>
      <c r="Q85" s="19">
        <f t="shared" si="10"/>
        <v>3.819247933026602</v>
      </c>
    </row>
    <row r="86" spans="16:17" x14ac:dyDescent="0.2">
      <c r="P86">
        <f t="shared" si="11"/>
        <v>8.1999999999999869</v>
      </c>
      <c r="Q86" s="19">
        <f t="shared" si="10"/>
        <v>3.8223230469328895</v>
      </c>
    </row>
    <row r="87" spans="16:17" x14ac:dyDescent="0.2">
      <c r="P87">
        <f t="shared" si="11"/>
        <v>8.2999999999999865</v>
      </c>
      <c r="Q87" s="19">
        <f t="shared" si="10"/>
        <v>3.825328839846259</v>
      </c>
    </row>
    <row r="88" spans="16:17" x14ac:dyDescent="0.2">
      <c r="P88">
        <f t="shared" si="11"/>
        <v>8.3999999999999861</v>
      </c>
      <c r="Q88" s="19">
        <f t="shared" si="10"/>
        <v>3.8282676296519211</v>
      </c>
    </row>
    <row r="89" spans="16:17" x14ac:dyDescent="0.2">
      <c r="P89">
        <f t="shared" si="11"/>
        <v>8.4999999999999858</v>
      </c>
      <c r="Q89" s="19">
        <f t="shared" si="10"/>
        <v>3.8311416320366836</v>
      </c>
    </row>
    <row r="90" spans="16:17" x14ac:dyDescent="0.2">
      <c r="P90">
        <f t="shared" si="11"/>
        <v>8.5999999999999854</v>
      </c>
      <c r="Q90" s="19">
        <f t="shared" si="10"/>
        <v>3.8339529660601164</v>
      </c>
    </row>
    <row r="91" spans="16:17" x14ac:dyDescent="0.2">
      <c r="P91">
        <f t="shared" si="11"/>
        <v>8.6999999999999851</v>
      </c>
      <c r="Q91" s="19">
        <f t="shared" si="10"/>
        <v>3.8367036593651922</v>
      </c>
    </row>
    <row r="92" spans="16:17" x14ac:dyDescent="0.2">
      <c r="P92">
        <f t="shared" si="11"/>
        <v>8.7999999999999847</v>
      </c>
      <c r="Q92" s="19">
        <f t="shared" si="10"/>
        <v>3.8393956530553446</v>
      </c>
    </row>
    <row r="93" spans="16:17" x14ac:dyDescent="0.2">
      <c r="P93">
        <f t="shared" si="11"/>
        <v>8.8999999999999844</v>
      </c>
      <c r="Q93" s="19">
        <f t="shared" si="10"/>
        <v>3.8420308062626027</v>
      </c>
    </row>
    <row r="94" spans="16:17" x14ac:dyDescent="0.2">
      <c r="P94">
        <f t="shared" si="11"/>
        <v>8.999999999999984</v>
      </c>
      <c r="Q94" s="19">
        <f t="shared" si="10"/>
        <v>3.8446109004293727</v>
      </c>
    </row>
    <row r="95" spans="16:17" x14ac:dyDescent="0.2">
      <c r="P95">
        <f t="shared" si="11"/>
        <v>9.0999999999999837</v>
      </c>
      <c r="Q95" s="19">
        <f t="shared" si="10"/>
        <v>3.8471376433246136</v>
      </c>
    </row>
    <row r="96" spans="16:17" x14ac:dyDescent="0.2">
      <c r="P96">
        <f t="shared" si="11"/>
        <v>9.1999999999999833</v>
      </c>
      <c r="Q96" s="19">
        <f t="shared" si="10"/>
        <v>3.8496126728134175</v>
      </c>
    </row>
    <row r="97" spans="16:17" x14ac:dyDescent="0.2">
      <c r="P97">
        <f t="shared" si="11"/>
        <v>9.2999999999999829</v>
      </c>
      <c r="Q97" s="19">
        <f t="shared" si="10"/>
        <v>3.8520375603974832</v>
      </c>
    </row>
    <row r="98" spans="16:17" x14ac:dyDescent="0.2">
      <c r="P98">
        <f t="shared" si="11"/>
        <v>9.3999999999999826</v>
      </c>
      <c r="Q98" s="19">
        <f t="shared" si="10"/>
        <v>3.8544138145425735</v>
      </c>
    </row>
    <row r="99" spans="16:17" x14ac:dyDescent="0.2">
      <c r="P99">
        <f t="shared" si="11"/>
        <v>9.4999999999999822</v>
      </c>
      <c r="Q99" s="19">
        <f t="shared" si="10"/>
        <v>3.8567428838077458</v>
      </c>
    </row>
    <row r="100" spans="16:17" x14ac:dyDescent="0.2">
      <c r="P100">
        <f t="shared" si="11"/>
        <v>9.5999999999999819</v>
      </c>
      <c r="Q100" s="19">
        <f t="shared" si="10"/>
        <v>3.8590261597900137</v>
      </c>
    </row>
    <row r="101" spans="16:17" x14ac:dyDescent="0.2">
      <c r="P101">
        <f t="shared" si="11"/>
        <v>9.6999999999999815</v>
      </c>
      <c r="Q101" s="19">
        <f t="shared" si="10"/>
        <v>3.8612649798970025</v>
      </c>
    </row>
    <row r="102" spans="16:17" x14ac:dyDescent="0.2">
      <c r="P102">
        <f t="shared" si="11"/>
        <v>9.7999999999999812</v>
      </c>
      <c r="Q102" s="19">
        <f t="shared" si="10"/>
        <v>3.8634606299592171</v>
      </c>
    </row>
    <row r="103" spans="16:17" x14ac:dyDescent="0.2">
      <c r="P103">
        <f t="shared" si="11"/>
        <v>9.8999999999999808</v>
      </c>
      <c r="Q103" s="19">
        <f t="shared" si="10"/>
        <v>3.8656143466926403</v>
      </c>
    </row>
    <row r="104" spans="16:17" x14ac:dyDescent="0.2">
      <c r="P104">
        <f t="shared" si="11"/>
        <v>9.9999999999999805</v>
      </c>
      <c r="Q104" s="19">
        <f t="shared" si="10"/>
        <v>3.8677273200215656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E7ECE-93A2-D543-8187-0FB10E7B1E5A}">
  <dimension ref="A2:I34"/>
  <sheetViews>
    <sheetView workbookViewId="0">
      <selection activeCell="F44" sqref="F44"/>
    </sheetView>
  </sheetViews>
  <sheetFormatPr baseColWidth="10" defaultRowHeight="13" x14ac:dyDescent="0.15"/>
  <cols>
    <col min="1" max="1" width="34.5" style="14" bestFit="1" customWidth="1"/>
    <col min="2" max="2" width="12.33203125" style="14" bestFit="1" customWidth="1"/>
    <col min="3" max="6" width="10.83203125" style="14"/>
    <col min="7" max="7" width="12.33203125" style="14" bestFit="1" customWidth="1"/>
    <col min="8" max="16384" width="10.83203125" style="14"/>
  </cols>
  <sheetData>
    <row r="2" spans="1:9" x14ac:dyDescent="0.15">
      <c r="A2" s="14" t="s">
        <v>7</v>
      </c>
      <c r="B2" s="14">
        <v>124.14</v>
      </c>
    </row>
    <row r="3" spans="1:9" x14ac:dyDescent="0.15">
      <c r="A3" s="14" t="s">
        <v>8</v>
      </c>
      <c r="B3" s="14">
        <v>470</v>
      </c>
    </row>
    <row r="4" spans="1:9" x14ac:dyDescent="0.15">
      <c r="A4" s="14" t="s">
        <v>9</v>
      </c>
      <c r="B4" s="14">
        <f>AVERAGE('gauaia after reconst'!D22:D23)</f>
        <v>0.48133928571428569</v>
      </c>
    </row>
    <row r="5" spans="1:9" x14ac:dyDescent="0.15">
      <c r="A5" s="14" t="s">
        <v>10</v>
      </c>
      <c r="B5" s="14">
        <v>0.01</v>
      </c>
    </row>
    <row r="6" spans="1:9" x14ac:dyDescent="0.15">
      <c r="A6" s="14" t="s">
        <v>11</v>
      </c>
      <c r="B6" s="14">
        <f>B4/B5</f>
        <v>48.133928571428569</v>
      </c>
    </row>
    <row r="7" spans="1:9" x14ac:dyDescent="0.15">
      <c r="A7" s="14" t="s">
        <v>12</v>
      </c>
      <c r="B7" s="14">
        <v>26.6</v>
      </c>
      <c r="D7" s="14" t="s">
        <v>13</v>
      </c>
    </row>
    <row r="8" spans="1:9" x14ac:dyDescent="0.15">
      <c r="A8" s="14" t="s">
        <v>14</v>
      </c>
      <c r="B8" s="14">
        <f>B4/B7</f>
        <v>1.8095461868958107E-2</v>
      </c>
      <c r="C8" s="14">
        <f>B8*1000</f>
        <v>18.095461868958107</v>
      </c>
      <c r="D8" s="14">
        <f>C8*1000</f>
        <v>18095.461868958108</v>
      </c>
      <c r="G8" s="14">
        <f>B8*0.0002</f>
        <v>3.6190923737916217E-6</v>
      </c>
      <c r="H8" s="14">
        <f>G8*1000</f>
        <v>3.6190923737916218E-3</v>
      </c>
      <c r="I8" s="14">
        <f>H8*1000</f>
        <v>3.6190923737916219</v>
      </c>
    </row>
    <row r="9" spans="1:9" x14ac:dyDescent="0.15">
      <c r="A9" s="14" t="s">
        <v>15</v>
      </c>
      <c r="B9" s="14">
        <v>50500</v>
      </c>
      <c r="D9" s="14" t="s">
        <v>13</v>
      </c>
    </row>
    <row r="10" spans="1:9" x14ac:dyDescent="0.15">
      <c r="A10" s="14" t="s">
        <v>16</v>
      </c>
      <c r="B10" s="14">
        <f>B5/B9</f>
        <v>1.9801980198019803E-7</v>
      </c>
      <c r="C10" s="14">
        <f>B10*1000</f>
        <v>1.9801980198019803E-4</v>
      </c>
      <c r="D10" s="14">
        <f>C10*1000</f>
        <v>0.19801980198019803</v>
      </c>
    </row>
    <row r="11" spans="1:9" x14ac:dyDescent="0.15">
      <c r="A11" s="14" t="s">
        <v>17</v>
      </c>
      <c r="B11" s="14">
        <f>(B8/B10)/60</f>
        <v>1523.0347073039738</v>
      </c>
    </row>
    <row r="12" spans="1:9" x14ac:dyDescent="0.15">
      <c r="A12" s="14" t="s">
        <v>18</v>
      </c>
      <c r="B12" s="15">
        <f>B11*60</f>
        <v>91382.082438238431</v>
      </c>
    </row>
    <row r="16" spans="1:9" x14ac:dyDescent="0.15">
      <c r="A16" s="14" t="s">
        <v>7</v>
      </c>
      <c r="B16" s="14">
        <f>B2</f>
        <v>124.14</v>
      </c>
    </row>
    <row r="17" spans="1:7" x14ac:dyDescent="0.15">
      <c r="A17" s="14" t="s">
        <v>8</v>
      </c>
      <c r="B17" s="14">
        <f>B3</f>
        <v>470</v>
      </c>
    </row>
    <row r="18" spans="1:7" x14ac:dyDescent="0.15">
      <c r="A18" s="14" t="s">
        <v>9</v>
      </c>
      <c r="B18" s="14">
        <f>B4</f>
        <v>0.48133928571428569</v>
      </c>
    </row>
    <row r="19" spans="1:7" x14ac:dyDescent="0.15">
      <c r="A19" s="14" t="s">
        <v>10</v>
      </c>
      <c r="B19" s="14">
        <v>0.01</v>
      </c>
    </row>
    <row r="20" spans="1:7" x14ac:dyDescent="0.15">
      <c r="A20" s="14" t="s">
        <v>11</v>
      </c>
      <c r="B20" s="14">
        <f>B18/B19</f>
        <v>48.133928571428569</v>
      </c>
      <c r="G20" s="14">
        <f>0.2/1000</f>
        <v>2.0000000000000001E-4</v>
      </c>
    </row>
    <row r="21" spans="1:7" x14ac:dyDescent="0.15">
      <c r="A21" s="14" t="s">
        <v>19</v>
      </c>
      <c r="B21" s="14">
        <f>B7</f>
        <v>26.6</v>
      </c>
    </row>
    <row r="22" spans="1:7" x14ac:dyDescent="0.15">
      <c r="A22" s="14" t="s">
        <v>20</v>
      </c>
      <c r="B22" s="14">
        <v>200</v>
      </c>
    </row>
    <row r="23" spans="1:7" x14ac:dyDescent="0.15">
      <c r="A23" s="14" t="s">
        <v>21</v>
      </c>
      <c r="B23" s="14">
        <f>B18/B21*1000</f>
        <v>18.095461868958107</v>
      </c>
    </row>
    <row r="24" spans="1:7" x14ac:dyDescent="0.15">
      <c r="A24" s="14" t="s">
        <v>22</v>
      </c>
      <c r="B24" s="14">
        <f>B23*(B22/10^6)</f>
        <v>3.6190923737916218E-3</v>
      </c>
    </row>
    <row r="25" spans="1:7" x14ac:dyDescent="0.15">
      <c r="A25" s="14" t="s">
        <v>23</v>
      </c>
      <c r="B25" s="14">
        <f>B24*1000</f>
        <v>3.6190923737916219</v>
      </c>
    </row>
    <row r="26" spans="1:7" x14ac:dyDescent="0.15">
      <c r="A26" s="14" t="s">
        <v>24</v>
      </c>
      <c r="B26" s="14">
        <f>B25/B19</f>
        <v>361.90923737916216</v>
      </c>
    </row>
    <row r="27" spans="1:7" x14ac:dyDescent="0.15">
      <c r="A27" s="14" t="s">
        <v>25</v>
      </c>
      <c r="B27" s="14">
        <f>B25/60</f>
        <v>6.0318206229860366E-2</v>
      </c>
    </row>
    <row r="28" spans="1:7" x14ac:dyDescent="0.15">
      <c r="A28" s="16" t="s">
        <v>26</v>
      </c>
      <c r="B28" s="16">
        <f>B27/D10</f>
        <v>0.30460694146079481</v>
      </c>
      <c r="C28" s="16" t="s">
        <v>50</v>
      </c>
      <c r="D28" s="16">
        <f>B28/'guaia after reconst 2'!M17</f>
        <v>0.53243653462820273</v>
      </c>
    </row>
    <row r="32" spans="1:7" x14ac:dyDescent="0.15">
      <c r="A32" s="16" t="s">
        <v>27</v>
      </c>
      <c r="B32" s="16">
        <f>D10</f>
        <v>0.19801980198019803</v>
      </c>
    </row>
    <row r="33" spans="1:2" x14ac:dyDescent="0.15">
      <c r="A33" s="16" t="s">
        <v>23</v>
      </c>
      <c r="B33" s="16">
        <f>B25</f>
        <v>3.6190923737916219</v>
      </c>
    </row>
    <row r="34" spans="1:2" x14ac:dyDescent="0.15">
      <c r="A34" s="16" t="s">
        <v>28</v>
      </c>
      <c r="B34" s="16">
        <f>B33/B32</f>
        <v>18.27641648764769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EBB7A-2CA9-C643-9490-1344DECE2A58}">
  <dimension ref="A2:J104"/>
  <sheetViews>
    <sheetView workbookViewId="0">
      <selection activeCell="J8" sqref="J8"/>
    </sheetView>
  </sheetViews>
  <sheetFormatPr baseColWidth="10" defaultRowHeight="16" x14ac:dyDescent="0.2"/>
  <sheetData>
    <row r="2" spans="1:10" x14ac:dyDescent="0.2">
      <c r="B2" s="22" t="s">
        <v>48</v>
      </c>
      <c r="C2" s="22"/>
      <c r="D2" s="22"/>
      <c r="E2" s="22"/>
      <c r="G2" s="22" t="s">
        <v>49</v>
      </c>
      <c r="H2" s="22"/>
      <c r="I2" s="22"/>
      <c r="J2" s="22"/>
    </row>
    <row r="3" spans="1:10" x14ac:dyDescent="0.2">
      <c r="A3" t="s">
        <v>63</v>
      </c>
      <c r="B3" t="s">
        <v>45</v>
      </c>
      <c r="C3" t="s">
        <v>46</v>
      </c>
      <c r="D3" t="s">
        <v>44</v>
      </c>
      <c r="E3" t="s">
        <v>47</v>
      </c>
      <c r="F3" t="s">
        <v>63</v>
      </c>
      <c r="G3" t="s">
        <v>45</v>
      </c>
      <c r="H3" t="s">
        <v>46</v>
      </c>
      <c r="I3" t="s">
        <v>63</v>
      </c>
      <c r="J3" t="s">
        <v>47</v>
      </c>
    </row>
    <row r="4" spans="1:10" x14ac:dyDescent="0.2">
      <c r="A4">
        <f>'Guaia before reconst'!L3</f>
        <v>0</v>
      </c>
      <c r="B4" s="19">
        <f>'Guaia before reconst'!M3</f>
        <v>0</v>
      </c>
      <c r="C4" s="19">
        <f>'Guaia before reconst'!N3</f>
        <v>0</v>
      </c>
      <c r="D4">
        <f>'Guaia before reconst'!P3</f>
        <v>0</v>
      </c>
      <c r="E4">
        <f>'Guaia before reconst'!Q3</f>
        <v>0</v>
      </c>
      <c r="F4">
        <f>'guaia after reconst 2'!L3</f>
        <v>0</v>
      </c>
      <c r="G4">
        <f>'guaia after reconst 2'!M3</f>
        <v>0</v>
      </c>
      <c r="H4">
        <f>'guaia after reconst 2'!N3</f>
        <v>0</v>
      </c>
      <c r="I4">
        <f>'guaia after reconst 2'!P4</f>
        <v>0</v>
      </c>
      <c r="J4">
        <f>'guaia after reconst 2'!Q4</f>
        <v>0</v>
      </c>
    </row>
    <row r="5" spans="1:10" x14ac:dyDescent="0.2">
      <c r="A5">
        <f>'Guaia before reconst'!L4</f>
        <v>2.5000000000000001E-2</v>
      </c>
      <c r="B5" s="19">
        <f>'Guaia before reconst'!M4</f>
        <v>8.0512615493958745E-2</v>
      </c>
      <c r="C5" s="19">
        <f>'Guaia before reconst'!N4</f>
        <v>1.1752091257701568E-2</v>
      </c>
      <c r="D5">
        <f>'Guaia before reconst'!P4</f>
        <v>0.1</v>
      </c>
      <c r="E5" s="19">
        <f>'Guaia before reconst'!Q4</f>
        <v>0.51720047449584827</v>
      </c>
      <c r="F5">
        <f>'guaia after reconst 2'!L4</f>
        <v>2.5000000000000001E-2</v>
      </c>
      <c r="G5" s="19">
        <f>'guaia after reconst 2'!M4</f>
        <v>0.10047551358851997</v>
      </c>
      <c r="H5" s="19">
        <f>'guaia after reconst 2'!N4</f>
        <v>1.5179946456500832E-2</v>
      </c>
      <c r="I5">
        <f>'guaia after reconst 2'!P5</f>
        <v>0.1</v>
      </c>
      <c r="J5" s="19">
        <f>'guaia after reconst 2'!Q5</f>
        <v>0.60839160839160844</v>
      </c>
    </row>
    <row r="6" spans="1:10" x14ac:dyDescent="0.2">
      <c r="A6">
        <f>'Guaia before reconst'!L5</f>
        <v>0.05</v>
      </c>
      <c r="B6" s="19">
        <f>'Guaia before reconst'!M5</f>
        <v>0.17186601008562621</v>
      </c>
      <c r="C6" s="19">
        <f>'Guaia before reconst'!N5</f>
        <v>1.4268303003722943E-2</v>
      </c>
      <c r="D6">
        <f>'Guaia before reconst'!P5</f>
        <v>0.2</v>
      </c>
      <c r="E6" s="19">
        <f>'Guaia before reconst'!Q5</f>
        <v>0.91393967625480377</v>
      </c>
      <c r="F6">
        <f>'guaia after reconst 2'!L5</f>
        <v>0.05</v>
      </c>
      <c r="G6" s="19">
        <f>'guaia after reconst 2'!M5</f>
        <v>0.16763546214505701</v>
      </c>
      <c r="H6" s="19">
        <f>'guaia after reconst 2'!N5</f>
        <v>8.4279799189158622E-3</v>
      </c>
      <c r="I6">
        <f>'guaia after reconst 2'!P6</f>
        <v>0.2</v>
      </c>
      <c r="J6" s="19">
        <f>'guaia after reconst 2'!Q6</f>
        <v>1.0591892241937573</v>
      </c>
    </row>
    <row r="7" spans="1:10" x14ac:dyDescent="0.2">
      <c r="A7">
        <f>'Guaia before reconst'!L6</f>
        <v>0.1</v>
      </c>
      <c r="B7" s="19">
        <f>'Guaia before reconst'!M6</f>
        <v>0.41935306460892807</v>
      </c>
      <c r="C7" s="19">
        <f>'Guaia before reconst'!N6</f>
        <v>6.3064792481765219E-2</v>
      </c>
      <c r="D7">
        <f>'Guaia before reconst'!P6</f>
        <v>0.30000000000000004</v>
      </c>
      <c r="E7" s="19">
        <f>'Guaia before reconst'!Q6</f>
        <v>1.2279127985814127</v>
      </c>
      <c r="F7">
        <f>'guaia after reconst 2'!L6</f>
        <v>0.1</v>
      </c>
      <c r="G7" s="19">
        <f>'guaia after reconst 2'!M6</f>
        <v>0.46112972552204951</v>
      </c>
      <c r="H7" s="19">
        <f>'guaia after reconst 2'!N6</f>
        <v>4.4085831473301688E-2</v>
      </c>
      <c r="I7">
        <f>'guaia after reconst 2'!P7</f>
        <v>0.30000000000000004</v>
      </c>
      <c r="J7" s="19">
        <f>'guaia after reconst 2'!Q7</f>
        <v>1.4066047471620229</v>
      </c>
    </row>
    <row r="8" spans="1:10" x14ac:dyDescent="0.2">
      <c r="A8">
        <f>'Guaia before reconst'!L7</f>
        <v>0.25</v>
      </c>
      <c r="B8" s="19">
        <f>'Guaia before reconst'!M7</f>
        <v>1.0951830981148676</v>
      </c>
      <c r="C8" s="19">
        <f>'Guaia before reconst'!N7</f>
        <v>9.6850331407666454E-2</v>
      </c>
      <c r="D8">
        <f>'Guaia before reconst'!P7</f>
        <v>0.4</v>
      </c>
      <c r="E8" s="19">
        <f>'Guaia before reconst'!Q7</f>
        <v>1.4825729668461323</v>
      </c>
      <c r="F8">
        <f>'guaia after reconst 2'!L7</f>
        <v>0.25</v>
      </c>
      <c r="G8" s="19">
        <f>'guaia after reconst 2'!M7</f>
        <v>1.2235537871865161</v>
      </c>
      <c r="H8" s="19">
        <f>'guaia after reconst 2'!N7</f>
        <v>1.6525049065894637E-2</v>
      </c>
      <c r="I8">
        <f>'guaia after reconst 2'!P8</f>
        <v>0.4</v>
      </c>
      <c r="J8" s="19">
        <f>'guaia after reconst 2'!Q8</f>
        <v>1.6825429482563523</v>
      </c>
    </row>
    <row r="9" spans="1:10" x14ac:dyDescent="0.2">
      <c r="A9">
        <f>'Guaia before reconst'!L8</f>
        <v>0.5</v>
      </c>
      <c r="B9" s="19">
        <f>'Guaia before reconst'!M8</f>
        <v>1.6949293710021318</v>
      </c>
      <c r="C9" s="19">
        <f>'Guaia before reconst'!N8</f>
        <v>4.3429218702406458E-2</v>
      </c>
      <c r="D9">
        <f>'Guaia before reconst'!P8</f>
        <v>0.5</v>
      </c>
      <c r="E9" s="19">
        <f>'Guaia before reconst'!Q8</f>
        <v>1.6932769483041339</v>
      </c>
      <c r="F9">
        <f>'guaia after reconst 2'!L8</f>
        <v>0.5</v>
      </c>
      <c r="G9" s="19">
        <f>'guaia after reconst 2'!M8</f>
        <v>2.0888330456560724</v>
      </c>
      <c r="H9" s="19">
        <f>'guaia after reconst 2'!N8</f>
        <v>7.9241646897359394E-2</v>
      </c>
      <c r="I9">
        <f>'guaia after reconst 2'!P9</f>
        <v>0.5</v>
      </c>
      <c r="J9" s="19">
        <f>'guaia after reconst 2'!Q9</f>
        <v>1.9070049435686971</v>
      </c>
    </row>
    <row r="10" spans="1:10" x14ac:dyDescent="0.2">
      <c r="A10">
        <f>'Guaia before reconst'!L9</f>
        <v>1</v>
      </c>
      <c r="B10" s="19">
        <f>'Guaia before reconst'!M9</f>
        <v>1.8442544928419122</v>
      </c>
      <c r="C10" s="19">
        <f>'Guaia before reconst'!N9</f>
        <v>0.24510737130673116</v>
      </c>
      <c r="D10">
        <f>'Guaia before reconst'!P9</f>
        <v>0.6</v>
      </c>
      <c r="E10" s="19">
        <f>'Guaia before reconst'!Q9</f>
        <v>1.8705013108763011</v>
      </c>
      <c r="F10">
        <f>'guaia after reconst 2'!L9</f>
        <v>1</v>
      </c>
      <c r="G10" s="19">
        <f>'guaia after reconst 2'!M9</f>
        <v>2.2432480454868506</v>
      </c>
      <c r="H10" s="19">
        <f>'guaia after reconst 2'!N9</f>
        <v>5.5836021188594834E-2</v>
      </c>
      <c r="I10">
        <f>'guaia after reconst 2'!P10</f>
        <v>0.6</v>
      </c>
      <c r="J10" s="19">
        <f>'guaia after reconst 2'!Q10</f>
        <v>2.0931661121064757</v>
      </c>
    </row>
    <row r="11" spans="1:10" x14ac:dyDescent="0.2">
      <c r="A11">
        <f>'Guaia before reconst'!L10</f>
        <v>2.5</v>
      </c>
      <c r="B11" s="19">
        <f>'Guaia before reconst'!M10</f>
        <v>3.1057510068704093</v>
      </c>
      <c r="C11" s="19">
        <f>'Guaia before reconst'!N10</f>
        <v>0.17538446879751601</v>
      </c>
      <c r="D11">
        <f>'Guaia before reconst'!P10</f>
        <v>0.7</v>
      </c>
      <c r="E11" s="19">
        <f>'Guaia before reconst'!Q10</f>
        <v>2.0216383307573418</v>
      </c>
      <c r="F11">
        <f>'guaia after reconst 2'!L10</f>
        <v>2.5</v>
      </c>
      <c r="G11" s="19">
        <f>'guaia after reconst 2'!M10</f>
        <v>3.2776170169560355</v>
      </c>
      <c r="H11" s="19">
        <f>'guaia after reconst 2'!N10</f>
        <v>0.18528731445765895</v>
      </c>
      <c r="I11">
        <f>'guaia after reconst 2'!P11</f>
        <v>0.7</v>
      </c>
      <c r="J11" s="19">
        <f>'guaia after reconst 2'!Q11</f>
        <v>2.2500589576291175</v>
      </c>
    </row>
    <row r="12" spans="1:10" x14ac:dyDescent="0.2">
      <c r="A12">
        <f>'Guaia before reconst'!L11</f>
        <v>5</v>
      </c>
      <c r="B12" s="19">
        <f>'Guaia before reconst'!M11</f>
        <v>2.6107768978238055</v>
      </c>
      <c r="C12" s="19">
        <f>'Guaia before reconst'!N11</f>
        <v>0.34865785646053743</v>
      </c>
      <c r="D12">
        <f>'Guaia before reconst'!P11</f>
        <v>0.79999999999999993</v>
      </c>
      <c r="E12" s="19">
        <f>'Guaia before reconst'!Q11</f>
        <v>2.1520531980530611</v>
      </c>
      <c r="F12">
        <f>'guaia after reconst 2'!L11</f>
        <v>5</v>
      </c>
      <c r="G12" s="19">
        <f>'guaia after reconst 2'!M11</f>
        <v>2.5010470606152904</v>
      </c>
      <c r="H12" s="19">
        <f>'guaia after reconst 2'!N11</f>
        <v>0.22412228298173026</v>
      </c>
      <c r="I12">
        <f>'guaia after reconst 2'!P12</f>
        <v>0.79999999999999993</v>
      </c>
      <c r="J12" s="19">
        <f>'guaia after reconst 2'!Q12</f>
        <v>2.3840827927993584</v>
      </c>
    </row>
    <row r="13" spans="1:10" x14ac:dyDescent="0.2">
      <c r="A13">
        <f>'Guaia before reconst'!L12</f>
        <v>7.5</v>
      </c>
      <c r="B13" s="19">
        <f>'Guaia before reconst'!M12</f>
        <v>2.0151950705655399</v>
      </c>
      <c r="C13" s="19">
        <f>'Guaia before reconst'!N12</f>
        <v>0.34334347491427997</v>
      </c>
      <c r="D13">
        <f>'Guaia before reconst'!P12</f>
        <v>0.89999999999999991</v>
      </c>
      <c r="E13" s="19">
        <f>'Guaia before reconst'!Q12</f>
        <v>2.2657342657342654</v>
      </c>
      <c r="F13">
        <f>'guaia after reconst 2'!L12</f>
        <v>7.5</v>
      </c>
      <c r="G13" s="19">
        <f>'guaia after reconst 2'!M12</f>
        <v>2.0195578231292508</v>
      </c>
      <c r="H13" s="19">
        <f>'guaia after reconst 2'!N12</f>
        <v>3.966138694283694E-2</v>
      </c>
      <c r="I13">
        <f>'guaia after reconst 2'!P13</f>
        <v>0.89999999999999991</v>
      </c>
      <c r="J13" s="19">
        <f>'guaia after reconst 2'!Q13</f>
        <v>2.4998981047483189</v>
      </c>
    </row>
    <row r="14" spans="1:10" x14ac:dyDescent="0.2">
      <c r="A14">
        <f>'Guaia before reconst'!L13</f>
        <v>10</v>
      </c>
      <c r="B14" s="19">
        <f>'Guaia before reconst'!M13</f>
        <v>1.7963964552238803</v>
      </c>
      <c r="C14" s="19">
        <f>'Guaia before reconst'!N13</f>
        <v>0.22539327371960088</v>
      </c>
      <c r="D14">
        <f>'Guaia before reconst'!P13</f>
        <v>0.99999999999999989</v>
      </c>
      <c r="E14" s="19">
        <f>'Guaia before reconst'!Q13</f>
        <v>2.3657080846446013</v>
      </c>
      <c r="F14">
        <f>'guaia after reconst 2'!L13</f>
        <v>10</v>
      </c>
      <c r="G14" s="19">
        <f>'guaia after reconst 2'!M13</f>
        <v>2.2051731140217274</v>
      </c>
      <c r="H14" s="19">
        <f>'guaia after reconst 2'!N13</f>
        <v>4.9180119809117517E-2</v>
      </c>
      <c r="I14">
        <f>'guaia after reconst 2'!P14</f>
        <v>0.99999999999999989</v>
      </c>
      <c r="J14" s="19">
        <f>'guaia after reconst 2'!Q14</f>
        <v>2.6009795814515617</v>
      </c>
    </row>
    <row r="15" spans="1:10" x14ac:dyDescent="0.2">
      <c r="D15">
        <f>'Guaia before reconst'!P14</f>
        <v>1.0999999999999999</v>
      </c>
      <c r="E15" s="19">
        <f>'Guaia before reconst'!Q14</f>
        <v>2.4543128447148463</v>
      </c>
      <c r="I15">
        <f>'guaia after reconst 2'!P15</f>
        <v>1.0999999999999999</v>
      </c>
      <c r="J15" s="19">
        <f>'guaia after reconst 2'!Q15</f>
        <v>2.6899706955325637</v>
      </c>
    </row>
    <row r="16" spans="1:10" x14ac:dyDescent="0.2">
      <c r="D16">
        <f>'Guaia before reconst'!P15</f>
        <v>1.2</v>
      </c>
      <c r="E16" s="19">
        <f>'Guaia before reconst'!Q15</f>
        <v>2.5333835476408244</v>
      </c>
      <c r="I16">
        <f>'guaia after reconst 2'!P16</f>
        <v>1.2</v>
      </c>
      <c r="J16" s="19">
        <f>'guaia after reconst 2'!Q16</f>
        <v>2.7689182326053836</v>
      </c>
    </row>
    <row r="17" spans="4:10" x14ac:dyDescent="0.2">
      <c r="D17">
        <f>'Guaia before reconst'!P16</f>
        <v>1.3</v>
      </c>
      <c r="E17" s="19">
        <f>'Guaia before reconst'!Q16</f>
        <v>2.6043804564251802</v>
      </c>
      <c r="I17">
        <f>'guaia after reconst 2'!P17</f>
        <v>1.3</v>
      </c>
      <c r="J17" s="19">
        <f>'guaia after reconst 2'!Q17</f>
        <v>2.8394316542919715</v>
      </c>
    </row>
    <row r="18" spans="4:10" x14ac:dyDescent="0.2">
      <c r="D18">
        <f>'Guaia before reconst'!P17</f>
        <v>1.4000000000000001</v>
      </c>
      <c r="E18" s="19">
        <f>'Guaia before reconst'!Q17</f>
        <v>2.6684801088065289</v>
      </c>
      <c r="I18">
        <f>'guaia after reconst 2'!P18</f>
        <v>1.4000000000000001</v>
      </c>
      <c r="J18" s="19">
        <f>'guaia after reconst 2'!Q18</f>
        <v>2.9027939759647081</v>
      </c>
    </row>
    <row r="19" spans="4:10" x14ac:dyDescent="0.2">
      <c r="D19">
        <f>'Guaia before reconst'!P18</f>
        <v>1.5000000000000002</v>
      </c>
      <c r="E19" s="19">
        <f>'Guaia before reconst'!Q18</f>
        <v>2.7266410339556217</v>
      </c>
      <c r="I19">
        <f>'guaia after reconst 2'!P19</f>
        <v>1.5000000000000002</v>
      </c>
      <c r="J19" s="19">
        <f>'guaia after reconst 2'!Q19</f>
        <v>2.9600405385840456</v>
      </c>
    </row>
    <row r="20" spans="4:10" x14ac:dyDescent="0.2">
      <c r="D20">
        <f>'Guaia before reconst'!P19</f>
        <v>1.6000000000000003</v>
      </c>
      <c r="E20" s="19">
        <f>'Guaia before reconst'!Q19</f>
        <v>2.7796520122194188</v>
      </c>
      <c r="I20">
        <f>'guaia after reconst 2'!P20</f>
        <v>1.6000000000000003</v>
      </c>
      <c r="J20" s="19">
        <f>'guaia after reconst 2'!Q20</f>
        <v>3.0120160213618159</v>
      </c>
    </row>
    <row r="21" spans="4:10" x14ac:dyDescent="0.2">
      <c r="D21">
        <f>'Guaia before reconst'!P20</f>
        <v>1.7000000000000004</v>
      </c>
      <c r="E21" s="19">
        <f>'Guaia before reconst'!Q20</f>
        <v>2.8281680586763898</v>
      </c>
      <c r="I21">
        <f>'guaia after reconst 2'!P21</f>
        <v>1.7000000000000004</v>
      </c>
      <c r="J21" s="19">
        <f>'guaia after reconst 2'!Q21</f>
        <v>3.0594163989261043</v>
      </c>
    </row>
    <row r="22" spans="4:10" x14ac:dyDescent="0.2">
      <c r="D22">
        <f>'Guaia before reconst'!P21</f>
        <v>1.8000000000000005</v>
      </c>
      <c r="E22" s="19">
        <f>'Guaia before reconst'!Q21</f>
        <v>2.8727376255744912</v>
      </c>
      <c r="I22">
        <f>'guaia after reconst 2'!P22</f>
        <v>1.8000000000000005</v>
      </c>
      <c r="J22" s="19">
        <f>'guaia after reconst 2'!Q22</f>
        <v>3.102820285822689</v>
      </c>
    </row>
    <row r="23" spans="4:10" x14ac:dyDescent="0.2">
      <c r="D23">
        <f>'Guaia before reconst'!P22</f>
        <v>1.9000000000000006</v>
      </c>
      <c r="E23" s="19">
        <f>'Guaia before reconst'!Q22</f>
        <v>2.913823425958495</v>
      </c>
      <c r="I23">
        <f>'guaia after reconst 2'!P23</f>
        <v>1.9000000000000006</v>
      </c>
      <c r="J23" s="19">
        <f>'guaia after reconst 2'!Q23</f>
        <v>3.1427126734355411</v>
      </c>
    </row>
    <row r="24" spans="4:10" x14ac:dyDescent="0.2">
      <c r="D24">
        <f>'Guaia before reconst'!P23</f>
        <v>2.0000000000000004</v>
      </c>
      <c r="E24" s="19">
        <f>'Guaia before reconst'!Q23</f>
        <v>2.9518185579418512</v>
      </c>
      <c r="I24">
        <f>'guaia after reconst 2'!P24</f>
        <v>2.0000000000000004</v>
      </c>
      <c r="J24" s="19">
        <f>'guaia after reconst 2'!Q24</f>
        <v>3.1795031297383463</v>
      </c>
    </row>
    <row r="25" spans="4:10" x14ac:dyDescent="0.2">
      <c r="D25">
        <f>'Guaia before reconst'!P24</f>
        <v>2.1000000000000005</v>
      </c>
      <c r="E25" s="19">
        <f>'Guaia before reconst'!Q24</f>
        <v>2.9870591220502414</v>
      </c>
      <c r="I25">
        <f>'guaia after reconst 2'!P25</f>
        <v>2.1000000000000005</v>
      </c>
      <c r="J25" s="19">
        <f>'guaia after reconst 2'!Q25</f>
        <v>3.2135399124284278</v>
      </c>
    </row>
    <row r="26" spans="4:10" x14ac:dyDescent="0.2">
      <c r="D26">
        <f>'Guaia before reconst'!P25</f>
        <v>2.2000000000000006</v>
      </c>
      <c r="E26" s="19">
        <f>'Guaia before reconst'!Q25</f>
        <v>3.0198341903662507</v>
      </c>
      <c r="I26">
        <f>'guaia after reconst 2'!P26</f>
        <v>2.2000000000000006</v>
      </c>
      <c r="J26" s="19">
        <f>'guaia after reconst 2'!Q26</f>
        <v>3.2451210273799647</v>
      </c>
    </row>
    <row r="27" spans="4:10" x14ac:dyDescent="0.2">
      <c r="D27">
        <f>'Guaia before reconst'!P26</f>
        <v>2.3000000000000007</v>
      </c>
      <c r="E27" s="19">
        <f>'Guaia before reconst'!Q26</f>
        <v>3.0503937540135873</v>
      </c>
      <c r="I27">
        <f>'guaia after reconst 2'!P27</f>
        <v>2.3000000000000007</v>
      </c>
      <c r="J27" s="19">
        <f>'guaia after reconst 2'!Q27</f>
        <v>3.274502976915846</v>
      </c>
    </row>
    <row r="28" spans="4:10" x14ac:dyDescent="0.2">
      <c r="D28">
        <f>'Guaia before reconst'!P27</f>
        <v>2.4000000000000008</v>
      </c>
      <c r="E28" s="19">
        <f>'Guaia before reconst'!Q27</f>
        <v>3.0789551116487401</v>
      </c>
      <c r="I28">
        <f>'guaia after reconst 2'!P28</f>
        <v>2.4000000000000008</v>
      </c>
      <c r="J28" s="19">
        <f>'guaia after reconst 2'!Q28</f>
        <v>3.3019077420006058</v>
      </c>
    </row>
    <row r="29" spans="4:10" x14ac:dyDescent="0.2">
      <c r="D29">
        <f>'Guaia before reconst'!P28</f>
        <v>2.5000000000000009</v>
      </c>
      <c r="E29" s="19">
        <f>'Guaia before reconst'!Q28</f>
        <v>3.105708044448666</v>
      </c>
      <c r="I29">
        <f>'guaia after reconst 2'!P29</f>
        <v>2.5000000000000009</v>
      </c>
      <c r="J29" s="19">
        <f>'guaia after reconst 2'!Q29</f>
        <v>3.3275284007682053</v>
      </c>
    </row>
    <row r="30" spans="4:10" x14ac:dyDescent="0.2">
      <c r="D30">
        <f>'Guaia before reconst'!P29</f>
        <v>2.600000000000001</v>
      </c>
      <c r="E30" s="19">
        <f>'Guaia before reconst'!Q29</f>
        <v>3.130819038266794</v>
      </c>
      <c r="I30">
        <f>'guaia after reconst 2'!P30</f>
        <v>2.600000000000001</v>
      </c>
      <c r="J30" s="19">
        <f>'guaia after reconst 2'!Q30</f>
        <v>3.3515336843100787</v>
      </c>
    </row>
    <row r="31" spans="4:10" x14ac:dyDescent="0.2">
      <c r="D31">
        <f>'Guaia before reconst'!P30</f>
        <v>2.7000000000000011</v>
      </c>
      <c r="E31" s="19">
        <f>'Guaia before reconst'!Q30</f>
        <v>3.1544347515407751</v>
      </c>
      <c r="I31">
        <f>'guaia after reconst 2'!P31</f>
        <v>2.7000000000000011</v>
      </c>
      <c r="J31" s="19">
        <f>'guaia after reconst 2'!Q31</f>
        <v>3.3740716970752733</v>
      </c>
    </row>
    <row r="32" spans="4:10" x14ac:dyDescent="0.2">
      <c r="D32">
        <f>'Guaia before reconst'!P31</f>
        <v>2.8000000000000012</v>
      </c>
      <c r="E32" s="19">
        <f>'Guaia before reconst'!Q31</f>
        <v>3.1766848816029145</v>
      </c>
      <c r="I32">
        <f>'guaia after reconst 2'!P32</f>
        <v>2.8000000000000012</v>
      </c>
      <c r="J32" s="19">
        <f>'guaia after reconst 2'!Q32</f>
        <v>3.395272975297293</v>
      </c>
    </row>
    <row r="33" spans="4:10" x14ac:dyDescent="0.2">
      <c r="D33">
        <f>'Guaia before reconst'!P32</f>
        <v>2.9000000000000012</v>
      </c>
      <c r="E33" s="19">
        <f>'Guaia before reconst'!Q32</f>
        <v>3.1976845477281031</v>
      </c>
      <c r="I33">
        <f>'guaia after reconst 2'!P33</f>
        <v>2.9000000000000012</v>
      </c>
      <c r="J33" s="19">
        <f>'guaia after reconst 2'!Q33</f>
        <v>3.4152530169061959</v>
      </c>
    </row>
    <row r="34" spans="4:10" x14ac:dyDescent="0.2">
      <c r="D34">
        <f>'Guaia before reconst'!P33</f>
        <v>3.0000000000000013</v>
      </c>
      <c r="E34" s="19">
        <f>'Guaia before reconst'!Q33</f>
        <v>3.2175362833793426</v>
      </c>
      <c r="I34">
        <f>'guaia after reconst 2'!P34</f>
        <v>3.0000000000000013</v>
      </c>
      <c r="J34" s="19">
        <f>'guaia after reconst 2'!Q34</f>
        <v>3.434114386495339</v>
      </c>
    </row>
    <row r="35" spans="4:10" x14ac:dyDescent="0.2">
      <c r="D35">
        <f>'Guaia before reconst'!P34</f>
        <v>3.1000000000000014</v>
      </c>
      <c r="E35" s="19">
        <f>'Guaia before reconst'!Q34</f>
        <v>3.2363317104317986</v>
      </c>
      <c r="I35">
        <f>'guaia after reconst 2'!P35</f>
        <v>3.1000000000000014</v>
      </c>
      <c r="J35" s="19">
        <f>'guaia after reconst 2'!Q35</f>
        <v>3.4519484763486843</v>
      </c>
    </row>
    <row r="36" spans="4:10" x14ac:dyDescent="0.2">
      <c r="D36">
        <f>'Guaia before reconst'!P35</f>
        <v>3.2000000000000015</v>
      </c>
      <c r="E36" s="19">
        <f>'Guaia before reconst'!Q35</f>
        <v>3.2541529530670954</v>
      </c>
      <c r="I36">
        <f>'guaia after reconst 2'!P36</f>
        <v>3.2000000000000015</v>
      </c>
      <c r="J36" s="19">
        <f>'guaia after reconst 2'!Q36</f>
        <v>3.4688369873545239</v>
      </c>
    </row>
    <row r="37" spans="4:10" x14ac:dyDescent="0.2">
      <c r="D37">
        <f>'Guaia before reconst'!P36</f>
        <v>3.3000000000000016</v>
      </c>
      <c r="E37" s="19">
        <f>'Guaia before reconst'!Q36</f>
        <v>3.2710738373708543</v>
      </c>
      <c r="I37">
        <f>'guaia after reconst 2'!P37</f>
        <v>3.3000000000000016</v>
      </c>
      <c r="J37" s="19">
        <f>'guaia after reconst 2'!Q37</f>
        <v>3.4848531804447207</v>
      </c>
    </row>
    <row r="38" spans="4:10" x14ac:dyDescent="0.2">
      <c r="D38">
        <f>'Guaia before reconst'!P37</f>
        <v>3.4000000000000017</v>
      </c>
      <c r="E38" s="19">
        <f>'Guaia before reconst'!Q37</f>
        <v>3.2871609135930226</v>
      </c>
      <c r="I38">
        <f>'guaia after reconst 2'!P38</f>
        <v>3.4000000000000017</v>
      </c>
      <c r="J38" s="19">
        <f>'guaia after reconst 2'!Q38</f>
        <v>3.5000629389995219</v>
      </c>
    </row>
    <row r="39" spans="4:10" x14ac:dyDescent="0.2">
      <c r="D39">
        <f>'Guaia before reconst'!P38</f>
        <v>3.5000000000000018</v>
      </c>
      <c r="E39" s="19">
        <f>'Guaia before reconst'!Q38</f>
        <v>3.3024743309207212</v>
      </c>
      <c r="I39">
        <f>'guaia after reconst 2'!P39</f>
        <v>3.5000000000000018</v>
      </c>
      <c r="J39" s="19">
        <f>'guaia after reconst 2'!Q39</f>
        <v>3.514525674713294</v>
      </c>
    </row>
    <row r="40" spans="4:10" x14ac:dyDescent="0.2">
      <c r="D40">
        <f>'Guaia before reconst'!P39</f>
        <v>3.6000000000000019</v>
      </c>
      <c r="E40" s="19">
        <f>'Guaia before reconst'!Q39</f>
        <v>3.317068589006035</v>
      </c>
      <c r="I40">
        <f>'guaia after reconst 2'!P40</f>
        <v>3.6000000000000019</v>
      </c>
      <c r="J40" s="19">
        <f>'guaia after reconst 2'!Q40</f>
        <v>3.5282951031854464</v>
      </c>
    </row>
    <row r="41" spans="4:10" x14ac:dyDescent="0.2">
      <c r="D41">
        <f>'Guaia before reconst'!P40</f>
        <v>3.700000000000002</v>
      </c>
      <c r="E41" s="19">
        <f>'Guaia before reconst'!Q40</f>
        <v>3.3309931860417104</v>
      </c>
      <c r="I41">
        <f>'guaia after reconst 2'!P41</f>
        <v>3.700000000000002</v>
      </c>
      <c r="J41" s="19">
        <f>'guaia after reconst 2'!Q41</f>
        <v>3.5414199105826181</v>
      </c>
    </row>
    <row r="42" spans="4:10" x14ac:dyDescent="0.2">
      <c r="D42">
        <f>'Guaia before reconst'!P41</f>
        <v>3.800000000000002</v>
      </c>
      <c r="E42" s="19">
        <f>'Guaia before reconst'!Q41</f>
        <v>3.3442931796263489</v>
      </c>
      <c r="I42">
        <f>'guaia after reconst 2'!P42</f>
        <v>3.800000000000002</v>
      </c>
      <c r="J42" s="19">
        <f>'guaia after reconst 2'!Q42</f>
        <v>3.5539443288122419</v>
      </c>
    </row>
    <row r="43" spans="4:10" x14ac:dyDescent="0.2">
      <c r="D43">
        <f>'Guaia before reconst'!P42</f>
        <v>3.9000000000000021</v>
      </c>
      <c r="E43" s="19">
        <f>'Guaia before reconst'!Q42</f>
        <v>3.3570096738105168</v>
      </c>
      <c r="I43">
        <f>'guaia after reconst 2'!P43</f>
        <v>3.9000000000000021</v>
      </c>
      <c r="J43" s="19">
        <f>'guaia after reconst 2'!Q43</f>
        <v>3.5659086335278736</v>
      </c>
    </row>
    <row r="44" spans="4:10" x14ac:dyDescent="0.2">
      <c r="D44">
        <f>'Guaia before reconst'!P43</f>
        <v>4.0000000000000018</v>
      </c>
      <c r="E44" s="19">
        <f>'Guaia before reconst'!Q43</f>
        <v>3.3691802434155456</v>
      </c>
      <c r="I44">
        <f>'guaia after reconst 2'!P44</f>
        <v>4.0000000000000018</v>
      </c>
      <c r="J44" s="19">
        <f>'guaia after reconst 2'!Q44</f>
        <v>3.5773495767809109</v>
      </c>
    </row>
    <row r="45" spans="4:10" x14ac:dyDescent="0.2">
      <c r="D45">
        <f>'Guaia before reconst'!P44</f>
        <v>4.1000000000000014</v>
      </c>
      <c r="E45" s="19">
        <f>'Guaia before reconst'!Q44</f>
        <v>3.3808393048521657</v>
      </c>
      <c r="I45">
        <f>'guaia after reconst 2'!P45</f>
        <v>4.1000000000000014</v>
      </c>
      <c r="J45" s="19">
        <f>'guaia after reconst 2'!Q45</f>
        <v>3.5883007641103579</v>
      </c>
    </row>
    <row r="46" spans="4:10" x14ac:dyDescent="0.2">
      <c r="D46">
        <f>'Guaia before reconst'!P45</f>
        <v>4.2000000000000011</v>
      </c>
      <c r="E46" s="19">
        <f>'Guaia before reconst'!Q45</f>
        <v>3.3920184411468095</v>
      </c>
      <c r="I46">
        <f>'guaia after reconst 2'!P46</f>
        <v>4.2000000000000011</v>
      </c>
      <c r="J46" s="19">
        <f>'guaia after reconst 2'!Q46</f>
        <v>3.598792984220784</v>
      </c>
    </row>
    <row r="47" spans="4:10" x14ac:dyDescent="0.2">
      <c r="D47">
        <f>'Guaia before reconst'!P46</f>
        <v>4.3000000000000007</v>
      </c>
      <c r="E47" s="19">
        <f>'Guaia before reconst'!Q46</f>
        <v>3.4027466876399064</v>
      </c>
      <c r="I47">
        <f>'guaia after reconst 2'!P47</f>
        <v>4.3000000000000007</v>
      </c>
      <c r="J47" s="19">
        <f>'guaia after reconst 2'!Q47</f>
        <v>3.6088544980603854</v>
      </c>
    </row>
    <row r="48" spans="4:10" x14ac:dyDescent="0.2">
      <c r="D48">
        <f>'Guaia before reconst'!P47</f>
        <v>4.4000000000000004</v>
      </c>
      <c r="E48" s="19">
        <f>'Guaia before reconst'!Q47</f>
        <v>3.4130507837982096</v>
      </c>
      <c r="I48">
        <f>'guaia after reconst 2'!P48</f>
        <v>4.4000000000000004</v>
      </c>
      <c r="J48" s="19">
        <f>'guaia after reconst 2'!Q48</f>
        <v>3.6185112930150241</v>
      </c>
    </row>
    <row r="49" spans="4:10" x14ac:dyDescent="0.2">
      <c r="D49">
        <f>'Guaia before reconst'!P48</f>
        <v>4.5</v>
      </c>
      <c r="E49" s="19">
        <f>'Guaia before reconst'!Q48</f>
        <v>3.4229553957392369</v>
      </c>
      <c r="I49">
        <f>'guaia after reconst 2'!P49</f>
        <v>4.5</v>
      </c>
      <c r="J49" s="19">
        <f>'guaia after reconst 2'!Q49</f>
        <v>3.6277873070325906</v>
      </c>
    </row>
    <row r="50" spans="4:10" x14ac:dyDescent="0.2">
      <c r="D50">
        <f>'Guaia before reconst'!P49</f>
        <v>4.5999999999999996</v>
      </c>
      <c r="E50" s="19">
        <f>'Guaia before reconst'!Q49</f>
        <v>3.4324833133664217</v>
      </c>
      <c r="I50">
        <f>'guaia after reconst 2'!P50</f>
        <v>4.5999999999999996</v>
      </c>
      <c r="J50" s="19">
        <f>'guaia after reconst 2'!Q50</f>
        <v>3.6367046267473566</v>
      </c>
    </row>
    <row r="51" spans="4:10" x14ac:dyDescent="0.2">
      <c r="D51">
        <f>'Guaia before reconst'!P50</f>
        <v>4.6999999999999993</v>
      </c>
      <c r="E51" s="19">
        <f>'Guaia before reconst'!Q50</f>
        <v>3.4416556254315416</v>
      </c>
      <c r="I51">
        <f>'guaia after reconst 2'!P51</f>
        <v>4.6999999999999993</v>
      </c>
      <c r="J51" s="19">
        <f>'guaia after reconst 2'!Q51</f>
        <v>3.6452836630564676</v>
      </c>
    </row>
    <row r="52" spans="4:10" x14ac:dyDescent="0.2">
      <c r="D52">
        <f>'Guaia before reconst'!P51</f>
        <v>4.7999999999999989</v>
      </c>
      <c r="E52" s="19">
        <f>'Guaia before reconst'!Q51</f>
        <v>3.4504918753549383</v>
      </c>
      <c r="I52">
        <f>'guaia after reconst 2'!P52</f>
        <v>4.7999999999999989</v>
      </c>
      <c r="J52" s="19">
        <f>'guaia after reconst 2'!Q52</f>
        <v>3.6535433070866148</v>
      </c>
    </row>
    <row r="53" spans="4:10" x14ac:dyDescent="0.2">
      <c r="D53">
        <f>'Guaia before reconst'!P52</f>
        <v>4.8999999999999986</v>
      </c>
      <c r="E53" s="19">
        <f>'Guaia before reconst'!Q52</f>
        <v>3.4590102002266718</v>
      </c>
      <c r="I53">
        <f>'guaia after reconst 2'!P53</f>
        <v>4.8999999999999986</v>
      </c>
      <c r="J53" s="19">
        <f>'guaia after reconst 2'!Q53</f>
        <v>3.661501069059411</v>
      </c>
    </row>
    <row r="54" spans="4:10" x14ac:dyDescent="0.2">
      <c r="D54">
        <f>'Guaia before reconst'!P53</f>
        <v>4.9999999999999982</v>
      </c>
      <c r="E54" s="19">
        <f>'Guaia before reconst'!Q53</f>
        <v>3.4672274550691857</v>
      </c>
      <c r="I54">
        <f>'guaia after reconst 2'!P54</f>
        <v>4.9999999999999982</v>
      </c>
      <c r="J54" s="19">
        <f>'guaia after reconst 2'!Q54</f>
        <v>3.669173202203837</v>
      </c>
    </row>
    <row r="55" spans="4:10" x14ac:dyDescent="0.2">
      <c r="D55">
        <f>'Guaia before reconst'!P54</f>
        <v>5.0999999999999979</v>
      </c>
      <c r="E55" s="19">
        <f>'Guaia before reconst'!Q54</f>
        <v>3.475159324153021</v>
      </c>
      <c r="I55">
        <f>'guaia after reconst 2'!P55</f>
        <v>5.0999999999999979</v>
      </c>
      <c r="J55" s="19">
        <f>'guaia after reconst 2'!Q55</f>
        <v>3.6765748135611149</v>
      </c>
    </row>
    <row r="56" spans="4:10" x14ac:dyDescent="0.2">
      <c r="D56">
        <f>'Guaia before reconst'!P55</f>
        <v>5.1999999999999975</v>
      </c>
      <c r="E56" s="19">
        <f>'Guaia before reconst'!Q55</f>
        <v>3.4828204209124891</v>
      </c>
      <c r="I56">
        <f>'guaia after reconst 2'!P56</f>
        <v>5.1999999999999975</v>
      </c>
      <c r="J56" s="19">
        <f>'guaia after reconst 2'!Q56</f>
        <v>3.6837199632715998</v>
      </c>
    </row>
    <row r="57" spans="4:10" x14ac:dyDescent="0.2">
      <c r="D57">
        <f>'Guaia before reconst'!P56</f>
        <v>5.2999999999999972</v>
      </c>
      <c r="E57" s="19">
        <f>'Guaia before reconst'!Q56</f>
        <v>3.4902243778005273</v>
      </c>
      <c r="I57">
        <f>'guaia after reconst 2'!P57</f>
        <v>5.2999999999999972</v>
      </c>
      <c r="J57" s="19">
        <f>'guaia after reconst 2'!Q57</f>
        <v>3.6906217537167287</v>
      </c>
    </row>
    <row r="58" spans="4:10" x14ac:dyDescent="0.2">
      <c r="D58">
        <f>'Guaia before reconst'!P57</f>
        <v>5.3999999999999968</v>
      </c>
      <c r="E58" s="19">
        <f>'Guaia before reconst'!Q57</f>
        <v>3.4973839272451186</v>
      </c>
      <c r="I58">
        <f>'guaia after reconst 2'!P58</f>
        <v>5.3999999999999968</v>
      </c>
      <c r="J58" s="19">
        <f>'guaia after reconst 2'!Q58</f>
        <v>3.6972924097051294</v>
      </c>
    </row>
    <row r="59" spans="4:10" x14ac:dyDescent="0.2">
      <c r="D59">
        <f>'Guaia before reconst'!P58</f>
        <v>5.4999999999999964</v>
      </c>
      <c r="E59" s="19">
        <f>'Guaia before reconst'!Q58</f>
        <v>3.5043109747186905</v>
      </c>
      <c r="I59">
        <f>'guaia after reconst 2'!P59</f>
        <v>5.4999999999999964</v>
      </c>
      <c r="J59" s="19">
        <f>'guaia after reconst 2'!Q59</f>
        <v>3.7037433507353308</v>
      </c>
    </row>
    <row r="60" spans="4:10" x14ac:dyDescent="0.2">
      <c r="D60">
        <f>'Guaia before reconst'!P59</f>
        <v>5.5999999999999961</v>
      </c>
      <c r="E60" s="19">
        <f>'Guaia before reconst'!Q59</f>
        <v>3.5110166648025949</v>
      </c>
      <c r="I60">
        <f>'guaia after reconst 2'!P60</f>
        <v>5.5999999999999961</v>
      </c>
      <c r="J60" s="19">
        <f>'guaia after reconst 2'!Q60</f>
        <v>3.7099852562336975</v>
      </c>
    </row>
    <row r="61" spans="4:10" x14ac:dyDescent="0.2">
      <c r="D61">
        <f>'Guaia before reconst'!P60</f>
        <v>5.6999999999999957</v>
      </c>
      <c r="E61" s="19">
        <f>'Guaia before reconst'!Q60</f>
        <v>3.5175114410178181</v>
      </c>
      <c r="I61">
        <f>'guaia after reconst 2'!P61</f>
        <v>5.6999999999999957</v>
      </c>
      <c r="J61" s="19">
        <f>'guaia after reconst 2'!Q61</f>
        <v>3.7160281245515856</v>
      </c>
    </row>
    <row r="62" spans="4:10" x14ac:dyDescent="0.2">
      <c r="D62">
        <f>'Guaia before reconst'!P61</f>
        <v>5.7999999999999954</v>
      </c>
      <c r="E62" s="19">
        <f>'Guaia before reconst'!Q61</f>
        <v>3.523805100097543</v>
      </c>
      <c r="I62">
        <f>'guaia after reconst 2'!P62</f>
        <v>5.7999999999999954</v>
      </c>
      <c r="J62" s="19">
        <f>'guaia after reconst 2'!Q62</f>
        <v>3.7218813264073072</v>
      </c>
    </row>
    <row r="63" spans="4:10" x14ac:dyDescent="0.2">
      <c r="D63">
        <f>'Guaia before reconst'!P62</f>
        <v>5.899999999999995</v>
      </c>
      <c r="E63" s="19">
        <f>'Guaia before reconst'!Q62</f>
        <v>3.5299068412947685</v>
      </c>
      <c r="I63">
        <f>'guaia after reconst 2'!P63</f>
        <v>5.899999999999995</v>
      </c>
      <c r="J63" s="19">
        <f>'guaia after reconst 2'!Q63</f>
        <v>3.7275536533737119</v>
      </c>
    </row>
    <row r="64" spans="4:10" x14ac:dyDescent="0.2">
      <c r="D64">
        <f>'Guaia before reconst'!P63</f>
        <v>5.9999999999999947</v>
      </c>
      <c r="E64" s="19">
        <f>'Guaia before reconst'!Q63</f>
        <v>3.5358253112469402</v>
      </c>
      <c r="I64">
        <f>'guaia after reconst 2'!P64</f>
        <v>5.9999999999999947</v>
      </c>
      <c r="J64" s="19">
        <f>'guaia after reconst 2'!Q64</f>
        <v>3.7330533619391066</v>
      </c>
    </row>
    <row r="65" spans="4:10" x14ac:dyDescent="0.2">
      <c r="D65">
        <f>'Guaia before reconst'!P64</f>
        <v>6.0999999999999943</v>
      </c>
      <c r="E65" s="19">
        <f>'Guaia before reconst'!Q64</f>
        <v>3.5415686448577386</v>
      </c>
      <c r="I65">
        <f>'guaia after reconst 2'!P65</f>
        <v>6.0999999999999943</v>
      </c>
      <c r="J65" s="19">
        <f>'guaia after reconst 2'!Q65</f>
        <v>3.7383882136059117</v>
      </c>
    </row>
    <row r="66" spans="4:10" x14ac:dyDescent="0.2">
      <c r="D66">
        <f>'Guaia before reconst'!P65</f>
        <v>6.199999999999994</v>
      </c>
      <c r="E66" s="19">
        <f>'Guaia before reconst'!Q65</f>
        <v>3.5471445026025337</v>
      </c>
      <c r="I66">
        <f>'guaia after reconst 2'!P66</f>
        <v>6.199999999999994</v>
      </c>
      <c r="J66" s="19">
        <f>'guaia after reconst 2'!Q66</f>
        <v>3.7435655114366302</v>
      </c>
    </row>
    <row r="67" spans="4:10" x14ac:dyDescent="0.2">
      <c r="D67">
        <f>'Guaia before reconst'!P66</f>
        <v>6.2999999999999936</v>
      </c>
      <c r="E67" s="19">
        <f>'Guaia before reconst'!Q66</f>
        <v>3.5525601046172417</v>
      </c>
      <c r="I67">
        <f>'guaia after reconst 2'!P67</f>
        <v>6.2999999999999936</v>
      </c>
      <c r="J67" s="19">
        <f>'guaia after reconst 2'!Q67</f>
        <v>3.7485921334090015</v>
      </c>
    </row>
    <row r="68" spans="4:10" x14ac:dyDescent="0.2">
      <c r="D68">
        <f>'Guaia before reconst'!P67</f>
        <v>6.3999999999999932</v>
      </c>
      <c r="E68" s="19">
        <f>'Guaia before reconst'!Q67</f>
        <v>3.5578222618895827</v>
      </c>
      <c r="I68">
        <f>'guaia after reconst 2'!P68</f>
        <v>6.3999999999999932</v>
      </c>
      <c r="J68" s="19">
        <f>'guaia after reconst 2'!Q68</f>
        <v>3.7534745629007045</v>
      </c>
    </row>
    <row r="69" spans="4:10" x14ac:dyDescent="0.2">
      <c r="D69">
        <f>'Guaia before reconst'!P68</f>
        <v>6.4999999999999929</v>
      </c>
      <c r="E69" s="19">
        <f>'Guaia before reconst'!Q68</f>
        <v>3.5629374048360734</v>
      </c>
      <c r="I69">
        <f>'guaia after reconst 2'!P69</f>
        <v>6.4999999999999929</v>
      </c>
      <c r="J69" s="19">
        <f>'guaia after reconst 2'!Q69</f>
        <v>3.758218916587718</v>
      </c>
    </row>
    <row r="70" spans="4:10" x14ac:dyDescent="0.2">
      <c r="D70">
        <f>'Guaia before reconst'!P69</f>
        <v>6.5999999999999925</v>
      </c>
      <c r="E70" s="19">
        <f>'Guaia before reconst'!Q69</f>
        <v>3.5679116095168553</v>
      </c>
      <c r="I70">
        <f>'guaia after reconst 2'!P70</f>
        <v>6.5999999999999925</v>
      </c>
      <c r="J70" s="19">
        <f>'guaia after reconst 2'!Q70</f>
        <v>3.7628309700087841</v>
      </c>
    </row>
    <row r="71" spans="4:10" x14ac:dyDescent="0.2">
      <c r="D71">
        <f>'Guaia before reconst'!P70</f>
        <v>6.6999999999999922</v>
      </c>
      <c r="E71" s="19">
        <f>'Guaia before reconst'!Q70</f>
        <v>3.572750621713074</v>
      </c>
      <c r="I71">
        <f>'guaia after reconst 2'!P71</f>
        <v>6.6999999999999922</v>
      </c>
      <c r="J71" s="19">
        <f>'guaia after reconst 2'!Q71</f>
        <v>3.7673161810206133</v>
      </c>
    </row>
    <row r="72" spans="4:10" x14ac:dyDescent="0.2">
      <c r="D72">
        <f>'Guaia before reconst'!P71</f>
        <v>6.7999999999999918</v>
      </c>
      <c r="E72" s="19">
        <f>'Guaia before reconst'!Q71</f>
        <v>3.5774598790673977</v>
      </c>
      <c r="I72">
        <f>'guaia after reconst 2'!P72</f>
        <v>6.7999999999999918</v>
      </c>
      <c r="J72" s="19">
        <f>'guaia after reconst 2'!Q72</f>
        <v>3.7716797113441221</v>
      </c>
    </row>
    <row r="73" spans="4:10" x14ac:dyDescent="0.2">
      <c r="D73">
        <f>'Guaia before reconst'!P72</f>
        <v>6.8999999999999915</v>
      </c>
      <c r="E73" s="19">
        <f>'Guaia before reconst'!Q72</f>
        <v>3.582044531467051</v>
      </c>
      <c r="I73">
        <f>'guaia after reconst 2'!P73</f>
        <v>6.8999999999999915</v>
      </c>
      <c r="J73" s="19">
        <f>'guaia after reconst 2'!Q73</f>
        <v>3.7759264463805353</v>
      </c>
    </row>
    <row r="74" spans="4:10" x14ac:dyDescent="0.2">
      <c r="D74">
        <f>'Guaia before reconst'!P73</f>
        <v>6.9999999999999911</v>
      </c>
      <c r="E74" s="19">
        <f>'Guaia before reconst'!Q73</f>
        <v>3.5865094598299971</v>
      </c>
      <c r="I74">
        <f>'guaia after reconst 2'!P74</f>
        <v>6.9999999999999911</v>
      </c>
      <c r="J74" s="19">
        <f>'guaia after reconst 2'!Q74</f>
        <v>3.7800610134572969</v>
      </c>
    </row>
    <row r="75" spans="4:10" x14ac:dyDescent="0.2">
      <c r="D75">
        <f>'Guaia before reconst'!P74</f>
        <v>7.0999999999999908</v>
      </c>
      <c r="E75" s="19">
        <f>'Guaia before reconst'!Q74</f>
        <v>3.5908592934383332</v>
      </c>
      <c r="I75">
        <f>'guaia after reconst 2'!P75</f>
        <v>7.0999999999999908</v>
      </c>
      <c r="J75" s="19">
        <f>'guaia after reconst 2'!Q75</f>
        <v>3.7840877986470458</v>
      </c>
    </row>
    <row r="76" spans="4:10" x14ac:dyDescent="0.2">
      <c r="D76">
        <f>'Guaia before reconst'!P75</f>
        <v>7.1999999999999904</v>
      </c>
      <c r="E76" s="19">
        <f>'Guaia before reconst'!Q75</f>
        <v>3.5950984259483119</v>
      </c>
      <c r="I76">
        <f>'guaia after reconst 2'!P76</f>
        <v>7.1999999999999904</v>
      </c>
      <c r="J76" s="19">
        <f>'guaia after reconst 2'!Q76</f>
        <v>3.7880109622881846</v>
      </c>
    </row>
    <row r="77" spans="4:10" x14ac:dyDescent="0.2">
      <c r="D77">
        <f>'Guaia before reconst'!P76</f>
        <v>7.2999999999999901</v>
      </c>
      <c r="E77" s="19">
        <f>'Guaia before reconst'!Q76</f>
        <v>3.5992310301933728</v>
      </c>
      <c r="I77">
        <f>'guaia after reconst 2'!P77</f>
        <v>7.2999999999999901</v>
      </c>
      <c r="J77" s="19">
        <f>'guaia after reconst 2'!Q77</f>
        <v>3.7918344533224935</v>
      </c>
    </row>
    <row r="78" spans="4:10" x14ac:dyDescent="0.2">
      <c r="D78">
        <f>'Guaia before reconst'!P77</f>
        <v>7.3999999999999897</v>
      </c>
      <c r="E78" s="19">
        <f>'Guaia before reconst'!Q77</f>
        <v>3.6032610718850431</v>
      </c>
      <c r="I78">
        <f>'guaia after reconst 2'!P78</f>
        <v>7.3999999999999897</v>
      </c>
      <c r="J78" s="19">
        <f>'guaia after reconst 2'!Q78</f>
        <v>3.7955620225536562</v>
      </c>
    </row>
    <row r="79" spans="4:10" x14ac:dyDescent="0.2">
      <c r="D79">
        <f>'Guaia before reconst'!P78</f>
        <v>7.4999999999999893</v>
      </c>
      <c r="E79" s="19">
        <f>'Guaia before reconst'!Q78</f>
        <v>3.6071923223062492</v>
      </c>
      <c r="I79">
        <f>'guaia after reconst 2'!P79</f>
        <v>7.4999999999999893</v>
      </c>
      <c r="J79" s="19">
        <f>'guaia after reconst 2'!Q79</f>
        <v>3.7991972349202805</v>
      </c>
    </row>
    <row r="80" spans="4:10" x14ac:dyDescent="0.2">
      <c r="D80">
        <f>'Guaia before reconst'!P79</f>
        <v>7.599999999999989</v>
      </c>
      <c r="E80" s="19">
        <f>'Guaia before reconst'!Q79</f>
        <v>3.6110283700824581</v>
      </c>
      <c r="I80">
        <f>'guaia after reconst 2'!P80</f>
        <v>7.599999999999989</v>
      </c>
      <c r="J80" s="19">
        <f>'guaia after reconst 2'!Q80</f>
        <v>3.8027434808678304</v>
      </c>
    </row>
    <row r="81" spans="4:10" x14ac:dyDescent="0.2">
      <c r="D81">
        <f>'Guaia before reconst'!P80</f>
        <v>7.6999999999999886</v>
      </c>
      <c r="E81" s="19">
        <f>'Guaia before reconst'!Q80</f>
        <v>3.6147726321078633</v>
      </c>
      <c r="I81">
        <f>'guaia after reconst 2'!P81</f>
        <v>7.6999999999999886</v>
      </c>
      <c r="J81" s="19">
        <f>'guaia after reconst 2'!Q81</f>
        <v>3.8062039868957092</v>
      </c>
    </row>
    <row r="82" spans="4:10" x14ac:dyDescent="0.2">
      <c r="D82">
        <f>'Guaia before reconst'!P81</f>
        <v>7.7999999999999883</v>
      </c>
      <c r="E82" s="19">
        <f>'Guaia before reconst'!Q81</f>
        <v>3.6184283636965486</v>
      </c>
      <c r="I82">
        <f>'guaia after reconst 2'!P82</f>
        <v>7.7999999999999883</v>
      </c>
      <c r="J82" s="19">
        <f>'guaia after reconst 2'!Q82</f>
        <v>3.8095818253484786</v>
      </c>
    </row>
    <row r="83" spans="4:10" x14ac:dyDescent="0.2">
      <c r="D83">
        <f>'Guaia before reconst'!P82</f>
        <v>7.8999999999999879</v>
      </c>
      <c r="E83" s="19">
        <f>'Guaia before reconst'!Q82</f>
        <v>3.6219986680220124</v>
      </c>
      <c r="I83">
        <f>'guaia after reconst 2'!P83</f>
        <v>7.8999999999999879</v>
      </c>
      <c r="J83" s="19">
        <f>'guaia after reconst 2'!Q83</f>
        <v>3.8128799235136501</v>
      </c>
    </row>
    <row r="84" spans="4:10" x14ac:dyDescent="0.2">
      <c r="D84">
        <f>'Guaia before reconst'!P83</f>
        <v>7.9999999999999876</v>
      </c>
      <c r="E84" s="19">
        <f>'Guaia before reconst'!Q83</f>
        <v>3.6254865049025833</v>
      </c>
      <c r="I84">
        <f>'guaia after reconst 2'!P84</f>
        <v>7.9999999999999876</v>
      </c>
      <c r="J84" s="19">
        <f>'guaia after reconst 2'!Q84</f>
        <v>3.8161010720826867</v>
      </c>
    </row>
    <row r="85" spans="4:10" x14ac:dyDescent="0.2">
      <c r="D85">
        <f>'Guaia before reconst'!P84</f>
        <v>8.0999999999999872</v>
      </c>
      <c r="E85" s="19">
        <f>'Guaia before reconst'!Q84</f>
        <v>3.6288946989850088</v>
      </c>
      <c r="I85">
        <f>'guaia after reconst 2'!P85</f>
        <v>8.0999999999999872</v>
      </c>
      <c r="J85" s="19">
        <f>'guaia after reconst 2'!Q85</f>
        <v>3.819247933026602</v>
      </c>
    </row>
    <row r="86" spans="4:10" x14ac:dyDescent="0.2">
      <c r="D86">
        <f>'Guaia before reconst'!P85</f>
        <v>8.1999999999999869</v>
      </c>
      <c r="E86" s="19">
        <f>'Guaia before reconst'!Q85</f>
        <v>3.6322259473737679</v>
      </c>
      <c r="I86">
        <f>'guaia after reconst 2'!P86</f>
        <v>8.1999999999999869</v>
      </c>
      <c r="J86" s="19">
        <f>'guaia after reconst 2'!Q86</f>
        <v>3.8223230469328895</v>
      </c>
    </row>
    <row r="87" spans="4:10" x14ac:dyDescent="0.2">
      <c r="D87">
        <f>'Guaia before reconst'!P86</f>
        <v>8.2999999999999865</v>
      </c>
      <c r="E87" s="19">
        <f>'Guaia before reconst'!Q86</f>
        <v>3.6354828267494161</v>
      </c>
      <c r="I87">
        <f>'guaia after reconst 2'!P87</f>
        <v>8.2999999999999865</v>
      </c>
      <c r="J87" s="19">
        <f>'guaia after reconst 2'!Q87</f>
        <v>3.825328839846259</v>
      </c>
    </row>
    <row r="88" spans="4:10" x14ac:dyDescent="0.2">
      <c r="D88">
        <f>'Guaia before reconst'!P87</f>
        <v>8.3999999999999861</v>
      </c>
      <c r="E88" s="19">
        <f>'Guaia before reconst'!Q87</f>
        <v>3.6386678000154546</v>
      </c>
      <c r="I88">
        <f>'guaia after reconst 2'!P88</f>
        <v>8.3999999999999861</v>
      </c>
      <c r="J88" s="19">
        <f>'guaia after reconst 2'!Q88</f>
        <v>3.8282676296519211</v>
      </c>
    </row>
    <row r="89" spans="4:10" x14ac:dyDescent="0.2">
      <c r="D89">
        <f>'Guaia before reconst'!P88</f>
        <v>8.4999999999999858</v>
      </c>
      <c r="E89" s="19">
        <f>'Guaia before reconst'!Q88</f>
        <v>3.6417832225097442</v>
      </c>
      <c r="I89">
        <f>'guaia after reconst 2'!P89</f>
        <v>8.4999999999999858</v>
      </c>
      <c r="J89" s="19">
        <f>'guaia after reconst 2'!Q89</f>
        <v>3.8311416320366836</v>
      </c>
    </row>
    <row r="90" spans="4:10" x14ac:dyDescent="0.2">
      <c r="D90">
        <f>'Guaia before reconst'!P89</f>
        <v>8.5999999999999854</v>
      </c>
      <c r="E90" s="19">
        <f>'Guaia before reconst'!Q89</f>
        <v>3.6448313478134078</v>
      </c>
      <c r="I90">
        <f>'guaia after reconst 2'!P90</f>
        <v>8.5999999999999854</v>
      </c>
      <c r="J90" s="19">
        <f>'guaia after reconst 2'!Q90</f>
        <v>3.8339529660601164</v>
      </c>
    </row>
    <row r="91" spans="4:10" x14ac:dyDescent="0.2">
      <c r="D91">
        <f>'Guaia before reconst'!P90</f>
        <v>8.6999999999999851</v>
      </c>
      <c r="E91" s="19">
        <f>'Guaia before reconst'!Q90</f>
        <v>3.6478143331873012</v>
      </c>
      <c r="I91">
        <f>'guaia after reconst 2'!P91</f>
        <v>8.6999999999999851</v>
      </c>
      <c r="J91" s="19">
        <f>'guaia after reconst 2'!Q91</f>
        <v>3.8367036593651922</v>
      </c>
    </row>
    <row r="92" spans="4:10" x14ac:dyDescent="0.2">
      <c r="D92">
        <f>'Guaia before reconst'!P91</f>
        <v>8.7999999999999847</v>
      </c>
      <c r="E92" s="19">
        <f>'Guaia before reconst'!Q91</f>
        <v>3.650734244663643</v>
      </c>
      <c r="I92">
        <f>'guaia after reconst 2'!P92</f>
        <v>8.7999999999999847</v>
      </c>
      <c r="J92" s="19">
        <f>'guaia after reconst 2'!Q92</f>
        <v>3.8393956530553446</v>
      </c>
    </row>
    <row r="93" spans="4:10" x14ac:dyDescent="0.2">
      <c r="D93">
        <f>'Guaia before reconst'!P92</f>
        <v>8.8999999999999844</v>
      </c>
      <c r="E93" s="19">
        <f>'Guaia before reconst'!Q92</f>
        <v>3.6535930618180292</v>
      </c>
      <c r="I93">
        <f>'guaia after reconst 2'!P93</f>
        <v>8.8999999999999844</v>
      </c>
      <c r="J93" s="19">
        <f>'guaia after reconst 2'!Q93</f>
        <v>3.8420308062626027</v>
      </c>
    </row>
    <row r="94" spans="4:10" x14ac:dyDescent="0.2">
      <c r="D94">
        <f>'Guaia before reconst'!P93</f>
        <v>8.999999999999984</v>
      </c>
      <c r="E94" s="19">
        <f>'Guaia before reconst'!Q93</f>
        <v>3.6563926822450226</v>
      </c>
      <c r="I94">
        <f>'guaia after reconst 2'!P94</f>
        <v>8.999999999999984</v>
      </c>
      <c r="J94" s="19">
        <f>'guaia after reconst 2'!Q94</f>
        <v>3.8446109004293727</v>
      </c>
    </row>
    <row r="95" spans="4:10" x14ac:dyDescent="0.2">
      <c r="D95">
        <f>'Guaia before reconst'!P94</f>
        <v>9.0999999999999837</v>
      </c>
      <c r="E95" s="19">
        <f>'Guaia before reconst'!Q94</f>
        <v>3.6591349257585533</v>
      </c>
      <c r="I95">
        <f>'guaia after reconst 2'!P95</f>
        <v>9.0999999999999837</v>
      </c>
      <c r="J95" s="19">
        <f>'guaia after reconst 2'!Q95</f>
        <v>3.8471376433246136</v>
      </c>
    </row>
    <row r="96" spans="4:10" x14ac:dyDescent="0.2">
      <c r="D96">
        <f>'Guaia before reconst'!P95</f>
        <v>9.1999999999999833</v>
      </c>
      <c r="E96" s="19">
        <f>'Guaia before reconst'!Q95</f>
        <v>3.6618215383366972</v>
      </c>
      <c r="I96">
        <f>'guaia after reconst 2'!P96</f>
        <v>9.1999999999999833</v>
      </c>
      <c r="J96" s="19">
        <f>'guaia after reconst 2'!Q96</f>
        <v>3.8496126728134175</v>
      </c>
    </row>
    <row r="97" spans="4:10" x14ac:dyDescent="0.2">
      <c r="D97">
        <f>'Guaia before reconst'!P96</f>
        <v>9.2999999999999829</v>
      </c>
      <c r="E97" s="19">
        <f>'Guaia before reconst'!Q96</f>
        <v>3.6644541958287724</v>
      </c>
      <c r="I97">
        <f>'guaia after reconst 2'!P97</f>
        <v>9.2999999999999829</v>
      </c>
      <c r="J97" s="19">
        <f>'guaia after reconst 2'!Q97</f>
        <v>3.8520375603974832</v>
      </c>
    </row>
    <row r="98" spans="4:10" x14ac:dyDescent="0.2">
      <c r="D98">
        <f>'Guaia before reconst'!P97</f>
        <v>9.3999999999999826</v>
      </c>
      <c r="E98" s="19">
        <f>'Guaia before reconst'!Q97</f>
        <v>3.6670345074413193</v>
      </c>
      <c r="I98">
        <f>'guaia after reconst 2'!P98</f>
        <v>9.3999999999999826</v>
      </c>
      <c r="J98" s="19">
        <f>'guaia after reconst 2'!Q98</f>
        <v>3.8544138145425735</v>
      </c>
    </row>
    <row r="99" spans="4:10" x14ac:dyDescent="0.2">
      <c r="D99">
        <f>'Guaia before reconst'!P98</f>
        <v>9.4999999999999822</v>
      </c>
      <c r="E99" s="19">
        <f>'Guaia before reconst'!Q98</f>
        <v>3.6695640190181811</v>
      </c>
      <c r="I99">
        <f>'guaia after reconst 2'!P99</f>
        <v>9.4999999999999822</v>
      </c>
      <c r="J99" s="19">
        <f>'guaia after reconst 2'!Q99</f>
        <v>3.8567428838077458</v>
      </c>
    </row>
    <row r="100" spans="4:10" x14ac:dyDescent="0.2">
      <c r="D100">
        <f>'Guaia before reconst'!P99</f>
        <v>9.5999999999999819</v>
      </c>
      <c r="E100" s="19">
        <f>'Guaia before reconst'!Q99</f>
        <v>3.6720442161287492</v>
      </c>
      <c r="I100">
        <f>'guaia after reconst 2'!P100</f>
        <v>9.5999999999999819</v>
      </c>
      <c r="J100" s="19">
        <f>'guaia after reconst 2'!Q100</f>
        <v>3.8590261597900137</v>
      </c>
    </row>
    <row r="101" spans="4:10" x14ac:dyDescent="0.2">
      <c r="D101">
        <f>'Guaia before reconst'!P100</f>
        <v>9.6999999999999815</v>
      </c>
      <c r="E101" s="19">
        <f>'Guaia before reconst'!Q100</f>
        <v>3.674476526977323</v>
      </c>
      <c r="I101">
        <f>'guaia after reconst 2'!P101</f>
        <v>9.6999999999999815</v>
      </c>
      <c r="J101" s="19">
        <f>'guaia after reconst 2'!Q101</f>
        <v>3.8612649798970025</v>
      </c>
    </row>
    <row r="102" spans="4:10" x14ac:dyDescent="0.2">
      <c r="D102">
        <f>'Guaia before reconst'!P101</f>
        <v>9.7999999999999812</v>
      </c>
      <c r="E102" s="19">
        <f>'Guaia before reconst'!Q101</f>
        <v>3.6768623251455725</v>
      </c>
      <c r="I102">
        <f>'guaia after reconst 2'!P102</f>
        <v>9.7999999999999812</v>
      </c>
      <c r="J102" s="19">
        <f>'guaia after reconst 2'!Q102</f>
        <v>3.8634606299592171</v>
      </c>
    </row>
    <row r="103" spans="4:10" x14ac:dyDescent="0.2">
      <c r="D103">
        <f>'Guaia before reconst'!P102</f>
        <v>9.8999999999999808</v>
      </c>
      <c r="E103" s="19">
        <f>'Guaia before reconst'!Q102</f>
        <v>3.6792029321791504</v>
      </c>
      <c r="I103">
        <f>'guaia after reconst 2'!P103</f>
        <v>9.8999999999999808</v>
      </c>
      <c r="J103" s="19">
        <f>'guaia after reconst 2'!Q103</f>
        <v>3.8656143466926403</v>
      </c>
    </row>
    <row r="104" spans="4:10" x14ac:dyDescent="0.2">
      <c r="D104">
        <f>'Guaia before reconst'!P103</f>
        <v>9.9999999999999805</v>
      </c>
      <c r="E104" s="19">
        <f>'Guaia before reconst'!Q103</f>
        <v>3.6814996200287089</v>
      </c>
      <c r="I104">
        <f>'guaia after reconst 2'!P104</f>
        <v>9.9999999999999805</v>
      </c>
      <c r="J104" s="19">
        <f>'guaia after reconst 2'!Q104</f>
        <v>3.8677273200215656</v>
      </c>
    </row>
  </sheetData>
  <mergeCells count="2">
    <mergeCell ref="B2:E2"/>
    <mergeCell ref="G2:J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Guaia before reconst</vt:lpstr>
      <vt:lpstr>guai bef recons spec. Activity</vt:lpstr>
      <vt:lpstr>gauaia after reconst</vt:lpstr>
      <vt:lpstr>guaia after reconst 2</vt:lpstr>
      <vt:lpstr>guai after recons spec. Act</vt:lpstr>
      <vt:lpstr>Together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Dirks, Tim</cp:lastModifiedBy>
  <dcterms:created xsi:type="dcterms:W3CDTF">2024-06-17T08:03:41Z</dcterms:created>
  <dcterms:modified xsi:type="dcterms:W3CDTF">2025-01-22T12:26:30Z</dcterms:modified>
</cp:coreProperties>
</file>